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externalLinks/externalLink239.xml" ContentType="application/vnd.openxmlformats-officedocument.spreadsheetml.externalLink+xml"/>
  <Override PartName="/xl/externalLinks/externalLink240.xml" ContentType="application/vnd.openxmlformats-officedocument.spreadsheetml.externalLink+xml"/>
  <Override PartName="/xl/externalLinks/externalLink241.xml" ContentType="application/vnd.openxmlformats-officedocument.spreadsheetml.externalLink+xml"/>
  <Override PartName="/xl/externalLinks/externalLink242.xml" ContentType="application/vnd.openxmlformats-officedocument.spreadsheetml.externalLink+xml"/>
  <Override PartName="/xl/externalLinks/externalLink243.xml" ContentType="application/vnd.openxmlformats-officedocument.spreadsheetml.externalLink+xml"/>
  <Override PartName="/xl/externalLinks/externalLink244.xml" ContentType="application/vnd.openxmlformats-officedocument.spreadsheetml.externalLink+xml"/>
  <Override PartName="/xl/externalLinks/externalLink245.xml" ContentType="application/vnd.openxmlformats-officedocument.spreadsheetml.externalLink+xml"/>
  <Override PartName="/xl/externalLinks/externalLink246.xml" ContentType="application/vnd.openxmlformats-officedocument.spreadsheetml.externalLink+xml"/>
  <Override PartName="/xl/externalLinks/externalLink247.xml" ContentType="application/vnd.openxmlformats-officedocument.spreadsheetml.externalLink+xml"/>
  <Override PartName="/xl/externalLinks/externalLink248.xml" ContentType="application/vnd.openxmlformats-officedocument.spreadsheetml.externalLink+xml"/>
  <Override PartName="/xl/externalLinks/externalLink249.xml" ContentType="application/vnd.openxmlformats-officedocument.spreadsheetml.externalLink+xml"/>
  <Override PartName="/xl/externalLinks/externalLink250.xml" ContentType="application/vnd.openxmlformats-officedocument.spreadsheetml.externalLink+xml"/>
  <Override PartName="/xl/externalLinks/externalLink251.xml" ContentType="application/vnd.openxmlformats-officedocument.spreadsheetml.externalLink+xml"/>
  <Override PartName="/xl/externalLinks/externalLink252.xml" ContentType="application/vnd.openxmlformats-officedocument.spreadsheetml.externalLink+xml"/>
  <Override PartName="/xl/externalLinks/externalLink253.xml" ContentType="application/vnd.openxmlformats-officedocument.spreadsheetml.externalLink+xml"/>
  <Override PartName="/xl/externalLinks/externalLink254.xml" ContentType="application/vnd.openxmlformats-officedocument.spreadsheetml.externalLink+xml"/>
  <Override PartName="/xl/externalLinks/externalLink255.xml" ContentType="application/vnd.openxmlformats-officedocument.spreadsheetml.externalLink+xml"/>
  <Override PartName="/xl/externalLinks/externalLink256.xml" ContentType="application/vnd.openxmlformats-officedocument.spreadsheetml.externalLink+xml"/>
  <Override PartName="/xl/externalLinks/externalLink257.xml" ContentType="application/vnd.openxmlformats-officedocument.spreadsheetml.externalLink+xml"/>
  <Override PartName="/xl/externalLinks/externalLink258.xml" ContentType="application/vnd.openxmlformats-officedocument.spreadsheetml.externalLink+xml"/>
  <Override PartName="/xl/externalLinks/externalLink25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EXC_DECO\INSUMOS\"/>
    </mc:Choice>
  </mc:AlternateContent>
  <xr:revisionPtr revIDLastSave="0" documentId="13_ncr:1_{CFD59956-3E75-44BC-98FC-F624BED6C456}" xr6:coauthVersionLast="45" xr6:coauthVersionMax="45" xr10:uidLastSave="{00000000-0000-0000-0000-000000000000}"/>
  <bookViews>
    <workbookView xWindow="-120" yWindow="-120" windowWidth="20730" windowHeight="11160" tabRatio="609" xr2:uid="{00000000-000D-0000-FFFF-FFFF00000000}"/>
  </bookViews>
  <sheets>
    <sheet name="RESUMO" sheetId="25591" r:id="rId1"/>
    <sheet name="Diesel_500" sheetId="1" r:id="rId2"/>
    <sheet name="Diesel_S10" sheetId="25586" r:id="rId3"/>
    <sheet name="Arla_32" sheetId="25587" r:id="rId4"/>
    <sheet name="Câmbio" sheetId="25590" r:id="rId5"/>
    <sheet name="Carter" sheetId="25588" r:id="rId6"/>
    <sheet name="Despesas Indireta" sheetId="3584" r:id="rId7"/>
    <sheet name="Motorista" sheetId="4888" r:id="rId8"/>
    <sheet name="Cav. Mecânico" sheetId="25580" r:id="rId9"/>
    <sheet name="Semirreboque" sheetId="10285" r:id="rId10"/>
    <sheet name="Rodoar" sheetId="768" r:id="rId11"/>
    <sheet name="Pneu" sheetId="20994" r:id="rId12"/>
    <sheet name="Recapagem" sheetId="9216" r:id="rId13"/>
    <sheet name="Lavagem" sheetId="1024" r:id="rId14"/>
    <sheet name="Seguros" sheetId="32" r:id="rId15"/>
    <sheet name="Manutenção" sheetId="2316" r:id="rId16"/>
    <sheet name="EVOL. INSUMOS" sheetId="25582" state="hidden" r:id="rId17"/>
    <sheet name="RESUMO_MÊS" sheetId="25583" state="hidden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  <externalReference r:id="rId262"/>
    <externalReference r:id="rId263"/>
    <externalReference r:id="rId264"/>
    <externalReference r:id="rId265"/>
    <externalReference r:id="rId266"/>
    <externalReference r:id="rId267"/>
    <externalReference r:id="rId268"/>
    <externalReference r:id="rId269"/>
    <externalReference r:id="rId270"/>
    <externalReference r:id="rId271"/>
    <externalReference r:id="rId272"/>
    <externalReference r:id="rId273"/>
    <externalReference r:id="rId274"/>
    <externalReference r:id="rId275"/>
    <externalReference r:id="rId276"/>
    <externalReference r:id="rId277"/>
  </externalReferences>
  <definedNames>
    <definedName name="_xlnm.Print_Area" localSheetId="3">Arla_32!$A$1:$H$111</definedName>
    <definedName name="_xlnm.Print_Area" localSheetId="4">Câmbio!$A$1:$H$212</definedName>
    <definedName name="_xlnm.Print_Area" localSheetId="5">Carter!$A$1:$H$212</definedName>
    <definedName name="_xlnm.Print_Area" localSheetId="8">'Cav. Mecânico'!$A$1:$H$212</definedName>
    <definedName name="_xlnm.Print_Area" localSheetId="6">'Despesas Indireta'!$A$1:$H$212</definedName>
    <definedName name="_xlnm.Print_Area" localSheetId="1">Diesel_500!$A$1:$H$212</definedName>
    <definedName name="_xlnm.Print_Area" localSheetId="2">Diesel_S10!$A$1:$H$111</definedName>
    <definedName name="_xlnm.Print_Area" localSheetId="13">Lavagem!$A$1:$H$212</definedName>
    <definedName name="_xlnm.Print_Area" localSheetId="15">Manutenção!$A$1:$H$212</definedName>
    <definedName name="_xlnm.Print_Area" localSheetId="7">Motorista!$A$1:$H$212</definedName>
    <definedName name="_xlnm.Print_Area" localSheetId="11">Pneu!$A$1:$H$212</definedName>
    <definedName name="_xlnm.Print_Area" localSheetId="12">Recapagem!$A$1:$H$212</definedName>
    <definedName name="_xlnm.Print_Area" localSheetId="0">RESUMO!$B$2:$I$19</definedName>
    <definedName name="_xlnm.Print_Area" localSheetId="10">Rodoar!$A$1:$H$212</definedName>
    <definedName name="_xlnm.Print_Area" localSheetId="14">Seguros!$A$1:$H$212</definedName>
    <definedName name="_xlnm.Print_Area" localSheetId="9">Semirreboque!$A$1:$H$213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25591" l="1"/>
  <c r="H6" i="25591"/>
  <c r="G6" i="25591"/>
  <c r="F6" i="25591"/>
  <c r="E6" i="25591"/>
  <c r="D6" i="25591"/>
  <c r="I5" i="25591"/>
  <c r="H5" i="25591"/>
  <c r="G5" i="25591"/>
  <c r="F5" i="25591"/>
  <c r="E5" i="25591"/>
  <c r="D5" i="25591"/>
  <c r="I18" i="25591"/>
  <c r="H18" i="25591"/>
  <c r="G18" i="25591"/>
  <c r="F18" i="25591"/>
  <c r="E18" i="25591"/>
  <c r="D18" i="25591"/>
  <c r="I17" i="25591"/>
  <c r="H17" i="25591"/>
  <c r="G17" i="25591"/>
  <c r="F17" i="25591"/>
  <c r="E17" i="25591"/>
  <c r="D17" i="25591"/>
  <c r="I16" i="25591"/>
  <c r="H16" i="25591"/>
  <c r="G16" i="25591"/>
  <c r="F16" i="25591"/>
  <c r="E16" i="25591"/>
  <c r="D16" i="25591"/>
  <c r="I15" i="25591"/>
  <c r="H15" i="25591"/>
  <c r="G15" i="25591"/>
  <c r="F15" i="25591"/>
  <c r="E15" i="25591"/>
  <c r="D15" i="25591"/>
  <c r="I14" i="25591"/>
  <c r="H14" i="25591"/>
  <c r="G14" i="25591"/>
  <c r="F14" i="25591"/>
  <c r="E14" i="25591"/>
  <c r="D14" i="25591"/>
  <c r="I13" i="25591"/>
  <c r="H13" i="25591"/>
  <c r="G13" i="25591"/>
  <c r="F13" i="25591"/>
  <c r="E13" i="25591"/>
  <c r="D13" i="25591"/>
  <c r="I11" i="25591"/>
  <c r="H11" i="25591"/>
  <c r="G11" i="25591"/>
  <c r="F11" i="25591"/>
  <c r="E11" i="25591"/>
  <c r="D11" i="25591"/>
  <c r="I10" i="25591"/>
  <c r="H10" i="25591"/>
  <c r="G10" i="25591"/>
  <c r="F10" i="25591"/>
  <c r="E10" i="25591"/>
  <c r="D10" i="25591"/>
  <c r="I9" i="25591"/>
  <c r="H9" i="25591"/>
  <c r="G9" i="25591"/>
  <c r="F9" i="25591"/>
  <c r="E9" i="25591"/>
  <c r="D9" i="25591"/>
  <c r="I8" i="25591"/>
  <c r="H8" i="25591"/>
  <c r="G8" i="25591"/>
  <c r="F8" i="25591"/>
  <c r="E8" i="25591"/>
  <c r="D8" i="25591"/>
  <c r="I7" i="25591"/>
  <c r="H7" i="25591"/>
  <c r="G7" i="25591"/>
  <c r="F7" i="25591"/>
  <c r="E7" i="25591"/>
  <c r="D7" i="25591"/>
  <c r="I4" i="25591"/>
  <c r="H4" i="25591"/>
  <c r="G4" i="25591"/>
  <c r="F4" i="25591"/>
  <c r="E4" i="25591"/>
  <c r="D4" i="25591"/>
  <c r="I12" i="25591"/>
  <c r="H12" i="25591"/>
  <c r="G12" i="25591"/>
  <c r="F12" i="25591"/>
  <c r="E12" i="25591"/>
  <c r="D12" i="25591"/>
  <c r="H211" i="2316"/>
  <c r="H210" i="2316"/>
  <c r="H209" i="2316"/>
  <c r="H208" i="2316"/>
  <c r="H207" i="2316"/>
  <c r="H206" i="2316"/>
  <c r="H205" i="2316"/>
  <c r="H204" i="2316"/>
  <c r="H203" i="2316"/>
  <c r="H202" i="2316"/>
  <c r="H201" i="2316"/>
  <c r="H200" i="2316"/>
  <c r="H199" i="2316"/>
  <c r="H198" i="2316"/>
  <c r="H197" i="2316"/>
  <c r="H196" i="2316"/>
  <c r="H195" i="2316"/>
  <c r="H194" i="2316"/>
  <c r="H193" i="2316"/>
  <c r="H192" i="2316"/>
  <c r="H191" i="2316"/>
  <c r="H190" i="2316"/>
  <c r="H189" i="2316"/>
  <c r="H188" i="2316"/>
  <c r="H187" i="2316"/>
  <c r="H186" i="2316"/>
  <c r="H185" i="2316"/>
  <c r="H184" i="2316"/>
  <c r="H183" i="2316"/>
  <c r="H182" i="2316"/>
  <c r="H181" i="2316"/>
  <c r="H180" i="2316"/>
  <c r="H179" i="2316"/>
  <c r="H178" i="2316"/>
  <c r="H177" i="2316"/>
  <c r="H176" i="2316"/>
  <c r="H175" i="2316"/>
  <c r="H174" i="2316"/>
  <c r="H173" i="2316"/>
  <c r="H172" i="2316"/>
  <c r="H171" i="2316"/>
  <c r="H170" i="2316"/>
  <c r="H169" i="2316"/>
  <c r="H168" i="2316"/>
  <c r="H167" i="2316"/>
  <c r="H166" i="2316"/>
  <c r="H165" i="2316"/>
  <c r="H164" i="2316"/>
  <c r="H163" i="2316"/>
  <c r="H162" i="2316"/>
  <c r="H161" i="2316"/>
  <c r="H160" i="2316"/>
  <c r="H159" i="2316"/>
  <c r="H158" i="2316"/>
  <c r="H157" i="2316"/>
  <c r="H156" i="2316"/>
  <c r="H155" i="2316"/>
  <c r="H154" i="2316"/>
  <c r="H153" i="2316"/>
  <c r="H152" i="2316"/>
  <c r="H151" i="2316"/>
  <c r="H150" i="2316"/>
  <c r="H149" i="2316"/>
  <c r="H148" i="2316"/>
  <c r="H147" i="2316"/>
  <c r="H146" i="2316"/>
  <c r="H145" i="2316"/>
  <c r="H144" i="2316"/>
  <c r="H143" i="2316"/>
  <c r="H142" i="2316"/>
  <c r="H141" i="2316"/>
  <c r="H140" i="2316"/>
  <c r="H139" i="2316"/>
  <c r="H138" i="2316"/>
  <c r="H137" i="2316"/>
  <c r="H136" i="2316"/>
  <c r="H135" i="2316"/>
  <c r="H134" i="2316"/>
  <c r="H133" i="2316"/>
  <c r="H132" i="2316"/>
  <c r="H131" i="2316"/>
  <c r="H130" i="2316"/>
  <c r="H129" i="2316"/>
  <c r="H128" i="2316"/>
  <c r="H127" i="2316"/>
  <c r="H126" i="2316"/>
  <c r="H125" i="2316"/>
  <c r="H124" i="2316"/>
  <c r="H123" i="2316"/>
  <c r="H122" i="2316"/>
  <c r="H121" i="2316"/>
  <c r="H120" i="2316"/>
  <c r="H119" i="2316"/>
  <c r="H118" i="2316"/>
  <c r="H117" i="2316"/>
  <c r="H116" i="2316"/>
  <c r="H115" i="2316"/>
  <c r="H114" i="2316"/>
  <c r="H113" i="2316"/>
  <c r="H112" i="2316"/>
  <c r="H111" i="2316"/>
  <c r="H110" i="2316"/>
  <c r="H109" i="2316"/>
  <c r="H108" i="2316"/>
  <c r="H107" i="2316"/>
  <c r="H106" i="2316"/>
  <c r="H105" i="2316"/>
  <c r="H104" i="2316"/>
  <c r="H103" i="2316"/>
  <c r="H102" i="2316"/>
  <c r="H101" i="2316"/>
  <c r="H100" i="2316"/>
  <c r="H99" i="2316"/>
  <c r="H98" i="2316"/>
  <c r="H97" i="2316"/>
  <c r="H96" i="2316"/>
  <c r="H95" i="2316"/>
  <c r="H94" i="2316"/>
  <c r="H93" i="2316"/>
  <c r="H92" i="2316"/>
  <c r="H91" i="2316"/>
  <c r="H90" i="2316"/>
  <c r="H89" i="2316"/>
  <c r="H88" i="2316"/>
  <c r="H87" i="2316"/>
  <c r="H86" i="2316"/>
  <c r="H85" i="2316"/>
  <c r="H84" i="2316"/>
  <c r="H83" i="2316"/>
  <c r="H82" i="2316"/>
  <c r="H81" i="2316"/>
  <c r="H80" i="2316"/>
  <c r="H79" i="2316"/>
  <c r="H78" i="2316"/>
  <c r="H77" i="2316"/>
  <c r="H76" i="2316"/>
  <c r="H75" i="2316"/>
  <c r="H74" i="2316"/>
  <c r="H73" i="2316"/>
  <c r="H72" i="2316"/>
  <c r="H71" i="2316"/>
  <c r="H70" i="2316"/>
  <c r="H69" i="2316"/>
  <c r="H68" i="2316"/>
  <c r="H67" i="2316"/>
  <c r="H66" i="2316"/>
  <c r="H65" i="2316"/>
  <c r="H64" i="2316"/>
  <c r="H63" i="2316"/>
  <c r="H62" i="2316"/>
  <c r="H61" i="2316"/>
  <c r="H60" i="2316"/>
  <c r="H59" i="2316"/>
  <c r="H58" i="2316"/>
  <c r="H57" i="2316"/>
  <c r="H56" i="2316"/>
  <c r="H55" i="2316"/>
  <c r="H54" i="2316"/>
  <c r="H53" i="2316"/>
  <c r="H52" i="2316"/>
  <c r="H51" i="2316"/>
  <c r="H50" i="2316"/>
  <c r="H49" i="2316"/>
  <c r="H48" i="2316"/>
  <c r="H47" i="2316"/>
  <c r="H46" i="2316"/>
  <c r="H45" i="2316"/>
  <c r="H44" i="2316"/>
  <c r="H43" i="2316"/>
  <c r="H42" i="2316"/>
  <c r="H41" i="2316"/>
  <c r="H40" i="2316"/>
  <c r="H39" i="2316"/>
  <c r="H38" i="2316"/>
  <c r="H37" i="2316"/>
  <c r="H36" i="2316"/>
  <c r="H35" i="2316"/>
  <c r="H34" i="2316"/>
  <c r="H33" i="2316"/>
  <c r="H32" i="2316"/>
  <c r="H31" i="2316"/>
  <c r="H30" i="2316"/>
  <c r="H29" i="2316"/>
  <c r="H28" i="2316"/>
  <c r="H27" i="2316"/>
  <c r="H26" i="2316"/>
  <c r="H25" i="2316"/>
  <c r="H24" i="2316"/>
  <c r="H23" i="2316"/>
  <c r="H22" i="2316"/>
  <c r="H21" i="2316"/>
  <c r="H20" i="2316"/>
  <c r="H19" i="2316"/>
  <c r="H18" i="2316"/>
  <c r="H17" i="2316"/>
  <c r="H16" i="2316"/>
  <c r="H15" i="2316"/>
  <c r="H14" i="2316"/>
  <c r="H13" i="2316"/>
  <c r="H12" i="2316"/>
  <c r="H11" i="2316"/>
  <c r="H10" i="2316"/>
  <c r="H9" i="2316"/>
  <c r="H8" i="2316"/>
  <c r="B211" i="2316"/>
  <c r="A211" i="2316"/>
  <c r="C211" i="2316"/>
  <c r="B211" i="1024"/>
  <c r="H210" i="1024" s="1"/>
  <c r="H211" i="32"/>
  <c r="H210" i="32"/>
  <c r="H209" i="32"/>
  <c r="H208" i="32"/>
  <c r="H207" i="32"/>
  <c r="H206" i="32"/>
  <c r="H205" i="32"/>
  <c r="H204" i="32"/>
  <c r="H203" i="32"/>
  <c r="H202" i="32"/>
  <c r="H201" i="32"/>
  <c r="H200" i="32"/>
  <c r="H199" i="32"/>
  <c r="H198" i="32"/>
  <c r="H197" i="32"/>
  <c r="H196" i="32"/>
  <c r="H195" i="32"/>
  <c r="H194" i="32"/>
  <c r="H193" i="32"/>
  <c r="H192" i="32"/>
  <c r="H191" i="32"/>
  <c r="H190" i="32"/>
  <c r="H189" i="32"/>
  <c r="H188" i="32"/>
  <c r="H187" i="32"/>
  <c r="H186" i="32"/>
  <c r="H185" i="32"/>
  <c r="H184" i="32"/>
  <c r="H183" i="32"/>
  <c r="H182" i="32"/>
  <c r="H181" i="32"/>
  <c r="H180" i="32"/>
  <c r="H179" i="32"/>
  <c r="H178" i="32"/>
  <c r="H177" i="32"/>
  <c r="H176" i="32"/>
  <c r="H175" i="32"/>
  <c r="H174" i="32"/>
  <c r="H173" i="32"/>
  <c r="H172" i="32"/>
  <c r="H171" i="32"/>
  <c r="H170" i="32"/>
  <c r="H169" i="32"/>
  <c r="H168" i="32"/>
  <c r="H167" i="32"/>
  <c r="H166" i="32"/>
  <c r="H165" i="32"/>
  <c r="H164" i="32"/>
  <c r="H163" i="32"/>
  <c r="H162" i="32"/>
  <c r="H161" i="32"/>
  <c r="H160" i="32"/>
  <c r="H159" i="32"/>
  <c r="H158" i="32"/>
  <c r="H157" i="32"/>
  <c r="H156" i="32"/>
  <c r="H155" i="32"/>
  <c r="H154" i="32"/>
  <c r="H153" i="32"/>
  <c r="H152" i="32"/>
  <c r="H151" i="32"/>
  <c r="H150" i="32"/>
  <c r="H149" i="32"/>
  <c r="H148" i="32"/>
  <c r="H147" i="32"/>
  <c r="H146" i="32"/>
  <c r="H145" i="32"/>
  <c r="H144" i="32"/>
  <c r="H143" i="32"/>
  <c r="H142" i="32"/>
  <c r="H141" i="32"/>
  <c r="H140" i="32"/>
  <c r="H139" i="32"/>
  <c r="H138" i="32"/>
  <c r="H137" i="32"/>
  <c r="H136" i="32"/>
  <c r="H135" i="32"/>
  <c r="H134" i="32"/>
  <c r="H133" i="32"/>
  <c r="H132" i="32"/>
  <c r="H131" i="32"/>
  <c r="H130" i="32"/>
  <c r="H129" i="32"/>
  <c r="H128" i="32"/>
  <c r="H127" i="32"/>
  <c r="H126" i="32"/>
  <c r="H125" i="32"/>
  <c r="H124" i="32"/>
  <c r="H123" i="32"/>
  <c r="H122" i="32"/>
  <c r="H121" i="32"/>
  <c r="H120" i="32"/>
  <c r="H119" i="32"/>
  <c r="H118" i="32"/>
  <c r="H117" i="32"/>
  <c r="H116" i="32"/>
  <c r="H115" i="32"/>
  <c r="H114" i="32"/>
  <c r="H113" i="32"/>
  <c r="H112" i="32"/>
  <c r="H111" i="32"/>
  <c r="H110" i="32"/>
  <c r="H109" i="32"/>
  <c r="H108" i="32"/>
  <c r="H107" i="32"/>
  <c r="H106" i="32"/>
  <c r="H105" i="32"/>
  <c r="H104" i="32"/>
  <c r="H103" i="32"/>
  <c r="H102" i="32"/>
  <c r="H101" i="32"/>
  <c r="H100" i="32"/>
  <c r="H99" i="32"/>
  <c r="H98" i="32"/>
  <c r="H97" i="32"/>
  <c r="H96" i="32"/>
  <c r="H95" i="32"/>
  <c r="H94" i="32"/>
  <c r="H93" i="32"/>
  <c r="H92" i="32"/>
  <c r="H91" i="32"/>
  <c r="H90" i="32"/>
  <c r="H89" i="32"/>
  <c r="H88" i="32"/>
  <c r="H87" i="32"/>
  <c r="H86" i="32"/>
  <c r="H85" i="32"/>
  <c r="H84" i="32"/>
  <c r="H83" i="32"/>
  <c r="H82" i="32"/>
  <c r="H81" i="32"/>
  <c r="H80" i="32"/>
  <c r="H79" i="32"/>
  <c r="H78" i="32"/>
  <c r="H77" i="32"/>
  <c r="H76" i="32"/>
  <c r="H75" i="32"/>
  <c r="H74" i="32"/>
  <c r="H73" i="32"/>
  <c r="H72" i="32"/>
  <c r="H71" i="32"/>
  <c r="H70" i="32"/>
  <c r="H69" i="32"/>
  <c r="H68" i="32"/>
  <c r="H67" i="32"/>
  <c r="H66" i="32"/>
  <c r="H65" i="32"/>
  <c r="H64" i="32"/>
  <c r="H63" i="32"/>
  <c r="H62" i="32"/>
  <c r="H61" i="32"/>
  <c r="H60" i="32"/>
  <c r="H59" i="32"/>
  <c r="H58" i="32"/>
  <c r="H57" i="32"/>
  <c r="H56" i="32"/>
  <c r="H55" i="32"/>
  <c r="H54" i="32"/>
  <c r="H53" i="32"/>
  <c r="H52" i="32"/>
  <c r="H51" i="32"/>
  <c r="H50" i="32"/>
  <c r="H49" i="32"/>
  <c r="H48" i="32"/>
  <c r="H47" i="32"/>
  <c r="H46" i="32"/>
  <c r="H45" i="32"/>
  <c r="H44" i="32"/>
  <c r="H43" i="32"/>
  <c r="H42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B211" i="32"/>
  <c r="D211" i="32" s="1"/>
  <c r="A211" i="32"/>
  <c r="C211" i="32"/>
  <c r="F211" i="32"/>
  <c r="G211" i="32"/>
  <c r="H203" i="1024"/>
  <c r="H192" i="1024"/>
  <c r="H181" i="1024"/>
  <c r="H171" i="1024"/>
  <c r="H160" i="1024"/>
  <c r="H155" i="1024"/>
  <c r="H149" i="1024"/>
  <c r="H144" i="1024"/>
  <c r="H139" i="1024"/>
  <c r="H133" i="1024"/>
  <c r="H128" i="1024"/>
  <c r="H123" i="1024"/>
  <c r="H117" i="1024"/>
  <c r="H112" i="1024"/>
  <c r="H107" i="1024"/>
  <c r="H101" i="1024"/>
  <c r="H96" i="1024"/>
  <c r="H91" i="1024"/>
  <c r="H85" i="1024"/>
  <c r="H80" i="1024"/>
  <c r="H75" i="1024"/>
  <c r="H69" i="1024"/>
  <c r="H64" i="1024"/>
  <c r="H59" i="1024"/>
  <c r="H53" i="1024"/>
  <c r="H48" i="1024"/>
  <c r="H43" i="1024"/>
  <c r="H37" i="1024"/>
  <c r="H32" i="1024"/>
  <c r="H27" i="1024"/>
  <c r="H21" i="1024"/>
  <c r="H16" i="1024"/>
  <c r="H11" i="1024"/>
  <c r="A211" i="1024"/>
  <c r="H211" i="9216"/>
  <c r="H210" i="9216"/>
  <c r="H209" i="9216"/>
  <c r="H208" i="9216"/>
  <c r="H207" i="9216"/>
  <c r="H206" i="9216"/>
  <c r="H205" i="9216"/>
  <c r="H204" i="9216"/>
  <c r="H203" i="9216"/>
  <c r="H202" i="9216"/>
  <c r="H201" i="9216"/>
  <c r="H200" i="9216"/>
  <c r="H199" i="9216"/>
  <c r="H198" i="9216"/>
  <c r="H197" i="9216"/>
  <c r="H196" i="9216"/>
  <c r="H195" i="9216"/>
  <c r="H194" i="9216"/>
  <c r="H193" i="9216"/>
  <c r="H192" i="9216"/>
  <c r="H191" i="9216"/>
  <c r="H190" i="9216"/>
  <c r="H189" i="9216"/>
  <c r="H188" i="9216"/>
  <c r="H187" i="9216"/>
  <c r="H186" i="9216"/>
  <c r="H185" i="9216"/>
  <c r="H184" i="9216"/>
  <c r="H183" i="9216"/>
  <c r="H182" i="9216"/>
  <c r="H181" i="9216"/>
  <c r="H180" i="9216"/>
  <c r="H179" i="9216"/>
  <c r="H178" i="9216"/>
  <c r="H177" i="9216"/>
  <c r="H176" i="9216"/>
  <c r="H175" i="9216"/>
  <c r="H174" i="9216"/>
  <c r="H173" i="9216"/>
  <c r="H172" i="9216"/>
  <c r="H171" i="9216"/>
  <c r="H170" i="9216"/>
  <c r="H169" i="9216"/>
  <c r="H168" i="9216"/>
  <c r="H167" i="9216"/>
  <c r="H166" i="9216"/>
  <c r="H165" i="9216"/>
  <c r="H164" i="9216"/>
  <c r="H163" i="9216"/>
  <c r="H162" i="9216"/>
  <c r="H161" i="9216"/>
  <c r="H160" i="9216"/>
  <c r="H159" i="9216"/>
  <c r="H158" i="9216"/>
  <c r="H157" i="9216"/>
  <c r="H156" i="9216"/>
  <c r="H155" i="9216"/>
  <c r="H154" i="9216"/>
  <c r="H153" i="9216"/>
  <c r="H152" i="9216"/>
  <c r="H151" i="9216"/>
  <c r="H150" i="9216"/>
  <c r="H149" i="9216"/>
  <c r="H148" i="9216"/>
  <c r="H147" i="9216"/>
  <c r="H146" i="9216"/>
  <c r="H145" i="9216"/>
  <c r="H144" i="9216"/>
  <c r="H143" i="9216"/>
  <c r="H142" i="9216"/>
  <c r="H141" i="9216"/>
  <c r="H140" i="9216"/>
  <c r="H139" i="9216"/>
  <c r="H138" i="9216"/>
  <c r="H137" i="9216"/>
  <c r="H136" i="9216"/>
  <c r="H135" i="9216"/>
  <c r="H134" i="9216"/>
  <c r="H133" i="9216"/>
  <c r="H132" i="9216"/>
  <c r="H131" i="9216"/>
  <c r="H130" i="9216"/>
  <c r="H129" i="9216"/>
  <c r="H128" i="9216"/>
  <c r="H127" i="9216"/>
  <c r="H126" i="9216"/>
  <c r="H125" i="9216"/>
  <c r="H124" i="9216"/>
  <c r="H123" i="9216"/>
  <c r="H122" i="9216"/>
  <c r="H121" i="9216"/>
  <c r="H120" i="9216"/>
  <c r="H119" i="9216"/>
  <c r="H118" i="9216"/>
  <c r="H117" i="9216"/>
  <c r="H116" i="9216"/>
  <c r="H115" i="9216"/>
  <c r="H114" i="9216"/>
  <c r="H113" i="9216"/>
  <c r="H112" i="9216"/>
  <c r="H111" i="9216"/>
  <c r="H110" i="9216"/>
  <c r="H109" i="9216"/>
  <c r="H108" i="9216"/>
  <c r="H107" i="9216"/>
  <c r="H106" i="9216"/>
  <c r="H105" i="9216"/>
  <c r="H104" i="9216"/>
  <c r="H103" i="9216"/>
  <c r="H102" i="9216"/>
  <c r="H101" i="9216"/>
  <c r="H100" i="9216"/>
  <c r="H99" i="9216"/>
  <c r="H98" i="9216"/>
  <c r="H97" i="9216"/>
  <c r="H96" i="9216"/>
  <c r="H95" i="9216"/>
  <c r="H94" i="9216"/>
  <c r="H93" i="9216"/>
  <c r="H92" i="9216"/>
  <c r="H91" i="9216"/>
  <c r="H90" i="9216"/>
  <c r="H89" i="9216"/>
  <c r="H88" i="9216"/>
  <c r="H87" i="9216"/>
  <c r="H86" i="9216"/>
  <c r="H85" i="9216"/>
  <c r="H84" i="9216"/>
  <c r="H83" i="9216"/>
  <c r="H82" i="9216"/>
  <c r="H81" i="9216"/>
  <c r="H80" i="9216"/>
  <c r="H79" i="9216"/>
  <c r="H78" i="9216"/>
  <c r="H77" i="9216"/>
  <c r="H76" i="9216"/>
  <c r="H75" i="9216"/>
  <c r="H74" i="9216"/>
  <c r="H73" i="9216"/>
  <c r="H72" i="9216"/>
  <c r="H71" i="9216"/>
  <c r="H70" i="9216"/>
  <c r="H69" i="9216"/>
  <c r="H68" i="9216"/>
  <c r="H67" i="9216"/>
  <c r="H66" i="9216"/>
  <c r="H65" i="9216"/>
  <c r="H64" i="9216"/>
  <c r="H63" i="9216"/>
  <c r="H62" i="9216"/>
  <c r="H61" i="9216"/>
  <c r="H60" i="9216"/>
  <c r="H59" i="9216"/>
  <c r="H58" i="9216"/>
  <c r="H57" i="9216"/>
  <c r="H56" i="9216"/>
  <c r="H55" i="9216"/>
  <c r="H54" i="9216"/>
  <c r="H53" i="9216"/>
  <c r="H52" i="9216"/>
  <c r="H51" i="9216"/>
  <c r="H50" i="9216"/>
  <c r="H49" i="9216"/>
  <c r="H48" i="9216"/>
  <c r="H47" i="9216"/>
  <c r="H46" i="9216"/>
  <c r="H45" i="9216"/>
  <c r="H44" i="9216"/>
  <c r="H43" i="9216"/>
  <c r="H42" i="9216"/>
  <c r="H41" i="9216"/>
  <c r="H40" i="9216"/>
  <c r="H39" i="9216"/>
  <c r="H38" i="9216"/>
  <c r="H37" i="9216"/>
  <c r="H36" i="9216"/>
  <c r="H35" i="9216"/>
  <c r="H34" i="9216"/>
  <c r="H33" i="9216"/>
  <c r="H32" i="9216"/>
  <c r="H31" i="9216"/>
  <c r="H30" i="9216"/>
  <c r="H29" i="9216"/>
  <c r="H28" i="9216"/>
  <c r="H27" i="9216"/>
  <c r="H26" i="9216"/>
  <c r="H25" i="9216"/>
  <c r="H24" i="9216"/>
  <c r="H23" i="9216"/>
  <c r="H22" i="9216"/>
  <c r="H21" i="9216"/>
  <c r="H20" i="9216"/>
  <c r="H19" i="9216"/>
  <c r="H18" i="9216"/>
  <c r="H17" i="9216"/>
  <c r="H16" i="9216"/>
  <c r="H15" i="9216"/>
  <c r="H14" i="9216"/>
  <c r="H13" i="9216"/>
  <c r="H12" i="9216"/>
  <c r="H11" i="9216"/>
  <c r="H10" i="9216"/>
  <c r="H9" i="9216"/>
  <c r="H8" i="9216"/>
  <c r="A211" i="9216"/>
  <c r="B211" i="9216"/>
  <c r="C211" i="9216" s="1"/>
  <c r="H211" i="20994"/>
  <c r="H210" i="20994"/>
  <c r="H209" i="20994"/>
  <c r="H208" i="20994"/>
  <c r="H207" i="20994"/>
  <c r="H206" i="20994"/>
  <c r="H205" i="20994"/>
  <c r="H204" i="20994"/>
  <c r="H203" i="20994"/>
  <c r="H202" i="20994"/>
  <c r="H201" i="20994"/>
  <c r="H200" i="20994"/>
  <c r="H199" i="20994"/>
  <c r="H198" i="20994"/>
  <c r="H197" i="20994"/>
  <c r="H196" i="20994"/>
  <c r="H195" i="20994"/>
  <c r="H194" i="20994"/>
  <c r="H193" i="20994"/>
  <c r="H192" i="20994"/>
  <c r="H191" i="20994"/>
  <c r="H190" i="20994"/>
  <c r="H189" i="20994"/>
  <c r="H188" i="20994"/>
  <c r="H187" i="20994"/>
  <c r="H186" i="20994"/>
  <c r="H185" i="20994"/>
  <c r="H184" i="20994"/>
  <c r="H183" i="20994"/>
  <c r="H182" i="20994"/>
  <c r="H181" i="20994"/>
  <c r="H180" i="20994"/>
  <c r="H179" i="20994"/>
  <c r="H178" i="20994"/>
  <c r="H177" i="20994"/>
  <c r="H176" i="20994"/>
  <c r="H175" i="20994"/>
  <c r="H174" i="20994"/>
  <c r="H173" i="20994"/>
  <c r="H172" i="20994"/>
  <c r="H171" i="20994"/>
  <c r="H170" i="20994"/>
  <c r="H169" i="20994"/>
  <c r="H168" i="20994"/>
  <c r="H167" i="20994"/>
  <c r="H166" i="20994"/>
  <c r="H165" i="20994"/>
  <c r="H164" i="20994"/>
  <c r="H163" i="20994"/>
  <c r="H162" i="20994"/>
  <c r="H161" i="20994"/>
  <c r="H160" i="20994"/>
  <c r="H159" i="20994"/>
  <c r="H158" i="20994"/>
  <c r="H157" i="20994"/>
  <c r="H156" i="20994"/>
  <c r="H155" i="20994"/>
  <c r="H154" i="20994"/>
  <c r="H153" i="20994"/>
  <c r="H152" i="20994"/>
  <c r="H151" i="20994"/>
  <c r="H150" i="20994"/>
  <c r="H149" i="20994"/>
  <c r="H148" i="20994"/>
  <c r="H147" i="20994"/>
  <c r="H146" i="20994"/>
  <c r="H145" i="20994"/>
  <c r="H144" i="20994"/>
  <c r="H143" i="20994"/>
  <c r="H142" i="20994"/>
  <c r="H141" i="20994"/>
  <c r="H140" i="20994"/>
  <c r="H139" i="20994"/>
  <c r="H138" i="20994"/>
  <c r="H137" i="20994"/>
  <c r="H136" i="20994"/>
  <c r="H135" i="20994"/>
  <c r="H134" i="20994"/>
  <c r="H133" i="20994"/>
  <c r="H132" i="20994"/>
  <c r="H131" i="20994"/>
  <c r="H130" i="20994"/>
  <c r="H129" i="20994"/>
  <c r="H128" i="20994"/>
  <c r="H127" i="20994"/>
  <c r="H126" i="20994"/>
  <c r="H125" i="20994"/>
  <c r="H124" i="20994"/>
  <c r="H123" i="20994"/>
  <c r="H122" i="20994"/>
  <c r="H121" i="20994"/>
  <c r="H120" i="20994"/>
  <c r="H119" i="20994"/>
  <c r="H118" i="20994"/>
  <c r="H117" i="20994"/>
  <c r="H116" i="20994"/>
  <c r="H115" i="20994"/>
  <c r="H114" i="20994"/>
  <c r="H113" i="20994"/>
  <c r="H112" i="20994"/>
  <c r="H111" i="20994"/>
  <c r="H110" i="20994"/>
  <c r="H109" i="20994"/>
  <c r="H108" i="20994"/>
  <c r="H107" i="20994"/>
  <c r="H106" i="20994"/>
  <c r="H105" i="20994"/>
  <c r="H104" i="20994"/>
  <c r="H103" i="20994"/>
  <c r="H102" i="20994"/>
  <c r="H101" i="20994"/>
  <c r="H100" i="20994"/>
  <c r="H99" i="20994"/>
  <c r="H98" i="20994"/>
  <c r="H97" i="20994"/>
  <c r="H96" i="20994"/>
  <c r="H95" i="20994"/>
  <c r="H94" i="20994"/>
  <c r="H93" i="20994"/>
  <c r="H92" i="20994"/>
  <c r="H91" i="20994"/>
  <c r="H90" i="20994"/>
  <c r="H89" i="20994"/>
  <c r="H88" i="20994"/>
  <c r="H87" i="20994"/>
  <c r="H86" i="20994"/>
  <c r="H85" i="20994"/>
  <c r="H84" i="20994"/>
  <c r="H83" i="20994"/>
  <c r="H82" i="20994"/>
  <c r="H81" i="20994"/>
  <c r="H80" i="20994"/>
  <c r="H79" i="20994"/>
  <c r="H78" i="20994"/>
  <c r="H77" i="20994"/>
  <c r="H76" i="20994"/>
  <c r="H75" i="20994"/>
  <c r="H74" i="20994"/>
  <c r="H73" i="20994"/>
  <c r="H72" i="20994"/>
  <c r="H71" i="20994"/>
  <c r="H70" i="20994"/>
  <c r="H69" i="20994"/>
  <c r="H68" i="20994"/>
  <c r="H67" i="20994"/>
  <c r="H66" i="20994"/>
  <c r="H65" i="20994"/>
  <c r="H64" i="20994"/>
  <c r="H63" i="20994"/>
  <c r="H62" i="20994"/>
  <c r="H61" i="20994"/>
  <c r="H60" i="20994"/>
  <c r="H59" i="20994"/>
  <c r="H58" i="20994"/>
  <c r="H57" i="20994"/>
  <c r="H56" i="20994"/>
  <c r="H55" i="20994"/>
  <c r="H54" i="20994"/>
  <c r="H53" i="20994"/>
  <c r="H52" i="20994"/>
  <c r="H51" i="20994"/>
  <c r="H50" i="20994"/>
  <c r="H49" i="20994"/>
  <c r="H48" i="20994"/>
  <c r="H47" i="20994"/>
  <c r="H46" i="20994"/>
  <c r="H45" i="20994"/>
  <c r="H44" i="20994"/>
  <c r="H43" i="20994"/>
  <c r="H42" i="20994"/>
  <c r="H41" i="20994"/>
  <c r="H40" i="20994"/>
  <c r="H39" i="20994"/>
  <c r="H38" i="20994"/>
  <c r="H37" i="20994"/>
  <c r="H36" i="20994"/>
  <c r="H35" i="20994"/>
  <c r="H34" i="20994"/>
  <c r="H33" i="20994"/>
  <c r="H32" i="20994"/>
  <c r="H31" i="20994"/>
  <c r="H30" i="20994"/>
  <c r="H29" i="20994"/>
  <c r="H28" i="20994"/>
  <c r="H27" i="20994"/>
  <c r="H26" i="20994"/>
  <c r="H25" i="20994"/>
  <c r="H24" i="20994"/>
  <c r="H23" i="20994"/>
  <c r="H22" i="20994"/>
  <c r="H21" i="20994"/>
  <c r="H20" i="20994"/>
  <c r="H19" i="20994"/>
  <c r="H18" i="20994"/>
  <c r="H17" i="20994"/>
  <c r="H16" i="20994"/>
  <c r="H15" i="20994"/>
  <c r="H14" i="20994"/>
  <c r="H13" i="20994"/>
  <c r="H12" i="20994"/>
  <c r="H11" i="20994"/>
  <c r="H10" i="20994"/>
  <c r="H9" i="20994"/>
  <c r="H8" i="20994"/>
  <c r="B211" i="20994"/>
  <c r="A211" i="20994"/>
  <c r="C211" i="20994"/>
  <c r="H211" i="768"/>
  <c r="H210" i="768"/>
  <c r="H209" i="768"/>
  <c r="H208" i="768"/>
  <c r="H207" i="768"/>
  <c r="H206" i="768"/>
  <c r="H205" i="768"/>
  <c r="H204" i="768"/>
  <c r="H203" i="768"/>
  <c r="H202" i="768"/>
  <c r="H201" i="768"/>
  <c r="H200" i="768"/>
  <c r="H199" i="768"/>
  <c r="H198" i="768"/>
  <c r="H197" i="768"/>
  <c r="H196" i="768"/>
  <c r="H195" i="768"/>
  <c r="H194" i="768"/>
  <c r="H193" i="768"/>
  <c r="H192" i="768"/>
  <c r="H191" i="768"/>
  <c r="H190" i="768"/>
  <c r="H189" i="768"/>
  <c r="H188" i="768"/>
  <c r="H187" i="768"/>
  <c r="H186" i="768"/>
  <c r="H185" i="768"/>
  <c r="H184" i="768"/>
  <c r="H183" i="768"/>
  <c r="H182" i="768"/>
  <c r="H181" i="768"/>
  <c r="H180" i="768"/>
  <c r="H179" i="768"/>
  <c r="H178" i="768"/>
  <c r="H177" i="768"/>
  <c r="H176" i="768"/>
  <c r="H175" i="768"/>
  <c r="H174" i="768"/>
  <c r="H173" i="768"/>
  <c r="H172" i="768"/>
  <c r="H171" i="768"/>
  <c r="H170" i="768"/>
  <c r="H169" i="768"/>
  <c r="H168" i="768"/>
  <c r="H167" i="768"/>
  <c r="H166" i="768"/>
  <c r="H165" i="768"/>
  <c r="H164" i="768"/>
  <c r="H163" i="768"/>
  <c r="H162" i="768"/>
  <c r="H161" i="768"/>
  <c r="H160" i="768"/>
  <c r="H159" i="768"/>
  <c r="H158" i="768"/>
  <c r="H157" i="768"/>
  <c r="H156" i="768"/>
  <c r="H155" i="768"/>
  <c r="H154" i="768"/>
  <c r="H153" i="768"/>
  <c r="H152" i="768"/>
  <c r="H151" i="768"/>
  <c r="H150" i="768"/>
  <c r="H149" i="768"/>
  <c r="H148" i="768"/>
  <c r="H147" i="768"/>
  <c r="H146" i="768"/>
  <c r="H145" i="768"/>
  <c r="H144" i="768"/>
  <c r="H143" i="768"/>
  <c r="H142" i="768"/>
  <c r="H141" i="768"/>
  <c r="H140" i="768"/>
  <c r="H139" i="768"/>
  <c r="H138" i="768"/>
  <c r="H137" i="768"/>
  <c r="H136" i="768"/>
  <c r="H135" i="768"/>
  <c r="H134" i="768"/>
  <c r="H133" i="768"/>
  <c r="H132" i="768"/>
  <c r="H131" i="768"/>
  <c r="H130" i="768"/>
  <c r="H129" i="768"/>
  <c r="H128" i="768"/>
  <c r="H127" i="768"/>
  <c r="H126" i="768"/>
  <c r="H125" i="768"/>
  <c r="H124" i="768"/>
  <c r="H123" i="768"/>
  <c r="H122" i="768"/>
  <c r="H121" i="768"/>
  <c r="H120" i="768"/>
  <c r="H119" i="768"/>
  <c r="H118" i="768"/>
  <c r="H117" i="768"/>
  <c r="H116" i="768"/>
  <c r="H115" i="768"/>
  <c r="H114" i="768"/>
  <c r="H113" i="768"/>
  <c r="H112" i="768"/>
  <c r="H111" i="768"/>
  <c r="H110" i="768"/>
  <c r="H109" i="768"/>
  <c r="H108" i="768"/>
  <c r="H107" i="768"/>
  <c r="H106" i="768"/>
  <c r="H105" i="768"/>
  <c r="H104" i="768"/>
  <c r="H103" i="768"/>
  <c r="H102" i="768"/>
  <c r="H101" i="768"/>
  <c r="H100" i="768"/>
  <c r="H99" i="768"/>
  <c r="H98" i="768"/>
  <c r="H97" i="768"/>
  <c r="H96" i="768"/>
  <c r="H95" i="768"/>
  <c r="H94" i="768"/>
  <c r="H93" i="768"/>
  <c r="H92" i="768"/>
  <c r="H91" i="768"/>
  <c r="H90" i="768"/>
  <c r="H89" i="768"/>
  <c r="H88" i="768"/>
  <c r="H87" i="768"/>
  <c r="H86" i="768"/>
  <c r="H85" i="768"/>
  <c r="H84" i="768"/>
  <c r="H83" i="768"/>
  <c r="H82" i="768"/>
  <c r="H81" i="768"/>
  <c r="H80" i="768"/>
  <c r="H79" i="768"/>
  <c r="H78" i="768"/>
  <c r="H77" i="768"/>
  <c r="H76" i="768"/>
  <c r="H75" i="768"/>
  <c r="H74" i="768"/>
  <c r="H73" i="768"/>
  <c r="H72" i="768"/>
  <c r="H71" i="768"/>
  <c r="H70" i="768"/>
  <c r="H69" i="768"/>
  <c r="H68" i="768"/>
  <c r="H67" i="768"/>
  <c r="H66" i="768"/>
  <c r="H65" i="768"/>
  <c r="H64" i="768"/>
  <c r="H63" i="768"/>
  <c r="H62" i="768"/>
  <c r="H61" i="768"/>
  <c r="H60" i="768"/>
  <c r="H59" i="768"/>
  <c r="H58" i="768"/>
  <c r="H57" i="768"/>
  <c r="H56" i="768"/>
  <c r="H55" i="768"/>
  <c r="H54" i="768"/>
  <c r="H53" i="768"/>
  <c r="H52" i="768"/>
  <c r="H51" i="768"/>
  <c r="H50" i="768"/>
  <c r="H49" i="768"/>
  <c r="H48" i="768"/>
  <c r="H47" i="768"/>
  <c r="H46" i="768"/>
  <c r="H45" i="768"/>
  <c r="H44" i="768"/>
  <c r="H43" i="768"/>
  <c r="H42" i="768"/>
  <c r="H41" i="768"/>
  <c r="H40" i="768"/>
  <c r="H39" i="768"/>
  <c r="H38" i="768"/>
  <c r="H37" i="768"/>
  <c r="H36" i="768"/>
  <c r="H35" i="768"/>
  <c r="H34" i="768"/>
  <c r="H33" i="768"/>
  <c r="H32" i="768"/>
  <c r="H31" i="768"/>
  <c r="H30" i="768"/>
  <c r="H29" i="768"/>
  <c r="H28" i="768"/>
  <c r="H27" i="768"/>
  <c r="H26" i="768"/>
  <c r="H25" i="768"/>
  <c r="H24" i="768"/>
  <c r="H23" i="768"/>
  <c r="H22" i="768"/>
  <c r="H21" i="768"/>
  <c r="H20" i="768"/>
  <c r="H19" i="768"/>
  <c r="H18" i="768"/>
  <c r="H17" i="768"/>
  <c r="H16" i="768"/>
  <c r="H15" i="768"/>
  <c r="H14" i="768"/>
  <c r="H13" i="768"/>
  <c r="H12" i="768"/>
  <c r="H11" i="768"/>
  <c r="H10" i="768"/>
  <c r="H9" i="768"/>
  <c r="H8" i="768"/>
  <c r="B211" i="768"/>
  <c r="A211" i="768"/>
  <c r="C211" i="768"/>
  <c r="H212" i="10285"/>
  <c r="H211" i="10285"/>
  <c r="H210" i="10285"/>
  <c r="H209" i="10285"/>
  <c r="H208" i="10285"/>
  <c r="H207" i="10285"/>
  <c r="H206" i="10285"/>
  <c r="H205" i="10285"/>
  <c r="H204" i="10285"/>
  <c r="H203" i="10285"/>
  <c r="H202" i="10285"/>
  <c r="H201" i="10285"/>
  <c r="H200" i="10285"/>
  <c r="H199" i="10285"/>
  <c r="H198" i="10285"/>
  <c r="H197" i="10285"/>
  <c r="H196" i="10285"/>
  <c r="H195" i="10285"/>
  <c r="H194" i="10285"/>
  <c r="H193" i="10285"/>
  <c r="H192" i="10285"/>
  <c r="H191" i="10285"/>
  <c r="H190" i="10285"/>
  <c r="H189" i="10285"/>
  <c r="H188" i="10285"/>
  <c r="H187" i="10285"/>
  <c r="H186" i="10285"/>
  <c r="H185" i="10285"/>
  <c r="H184" i="10285"/>
  <c r="H183" i="10285"/>
  <c r="H182" i="10285"/>
  <c r="H181" i="10285"/>
  <c r="H180" i="10285"/>
  <c r="H179" i="10285"/>
  <c r="H178" i="10285"/>
  <c r="H177" i="10285"/>
  <c r="H176" i="10285"/>
  <c r="H175" i="10285"/>
  <c r="H174" i="10285"/>
  <c r="H173" i="10285"/>
  <c r="H172" i="10285"/>
  <c r="H171" i="10285"/>
  <c r="H170" i="10285"/>
  <c r="H169" i="10285"/>
  <c r="H168" i="10285"/>
  <c r="H167" i="10285"/>
  <c r="H166" i="10285"/>
  <c r="H165" i="10285"/>
  <c r="H164" i="10285"/>
  <c r="H163" i="10285"/>
  <c r="H162" i="10285"/>
  <c r="H161" i="10285"/>
  <c r="H160" i="10285"/>
  <c r="H159" i="10285"/>
  <c r="H158" i="10285"/>
  <c r="H157" i="10285"/>
  <c r="H156" i="10285"/>
  <c r="H155" i="10285"/>
  <c r="H154" i="10285"/>
  <c r="H153" i="10285"/>
  <c r="H152" i="10285"/>
  <c r="H151" i="10285"/>
  <c r="H150" i="10285"/>
  <c r="H149" i="10285"/>
  <c r="H148" i="10285"/>
  <c r="H147" i="10285"/>
  <c r="H146" i="10285"/>
  <c r="H145" i="10285"/>
  <c r="H144" i="10285"/>
  <c r="H143" i="10285"/>
  <c r="H142" i="10285"/>
  <c r="H141" i="10285"/>
  <c r="H140" i="10285"/>
  <c r="H139" i="10285"/>
  <c r="H138" i="10285"/>
  <c r="H137" i="10285"/>
  <c r="H136" i="10285"/>
  <c r="H135" i="10285"/>
  <c r="H134" i="10285"/>
  <c r="H133" i="10285"/>
  <c r="H132" i="10285"/>
  <c r="H131" i="10285"/>
  <c r="H130" i="10285"/>
  <c r="H129" i="10285"/>
  <c r="H128" i="10285"/>
  <c r="H127" i="10285"/>
  <c r="H126" i="10285"/>
  <c r="H125" i="10285"/>
  <c r="H124" i="10285"/>
  <c r="H123" i="10285"/>
  <c r="H122" i="10285"/>
  <c r="H121" i="10285"/>
  <c r="H120" i="10285"/>
  <c r="H119" i="10285"/>
  <c r="H118" i="10285"/>
  <c r="H117" i="10285"/>
  <c r="H116" i="10285"/>
  <c r="H115" i="10285"/>
  <c r="H114" i="10285"/>
  <c r="H113" i="10285"/>
  <c r="H112" i="10285"/>
  <c r="H111" i="10285"/>
  <c r="H110" i="10285"/>
  <c r="H109" i="10285"/>
  <c r="H108" i="10285"/>
  <c r="H107" i="10285"/>
  <c r="H106" i="10285"/>
  <c r="H105" i="10285"/>
  <c r="H104" i="10285"/>
  <c r="H103" i="10285"/>
  <c r="H102" i="10285"/>
  <c r="H101" i="10285"/>
  <c r="H100" i="10285"/>
  <c r="H99" i="10285"/>
  <c r="H98" i="10285"/>
  <c r="H97" i="10285"/>
  <c r="H96" i="10285"/>
  <c r="H95" i="10285"/>
  <c r="H94" i="10285"/>
  <c r="H93" i="10285"/>
  <c r="H92" i="10285"/>
  <c r="H91" i="10285"/>
  <c r="H90" i="10285"/>
  <c r="H89" i="10285"/>
  <c r="H88" i="10285"/>
  <c r="H87" i="10285"/>
  <c r="H86" i="10285"/>
  <c r="H85" i="10285"/>
  <c r="H84" i="10285"/>
  <c r="H83" i="10285"/>
  <c r="H82" i="10285"/>
  <c r="H81" i="10285"/>
  <c r="H80" i="10285"/>
  <c r="H79" i="10285"/>
  <c r="H78" i="10285"/>
  <c r="H77" i="10285"/>
  <c r="H76" i="10285"/>
  <c r="H75" i="10285"/>
  <c r="H74" i="10285"/>
  <c r="H73" i="10285"/>
  <c r="H72" i="10285"/>
  <c r="H71" i="10285"/>
  <c r="H70" i="10285"/>
  <c r="H69" i="10285"/>
  <c r="H68" i="10285"/>
  <c r="H67" i="10285"/>
  <c r="H66" i="10285"/>
  <c r="H65" i="10285"/>
  <c r="H64" i="10285"/>
  <c r="H63" i="10285"/>
  <c r="H62" i="10285"/>
  <c r="H61" i="10285"/>
  <c r="H60" i="10285"/>
  <c r="H59" i="10285"/>
  <c r="H58" i="10285"/>
  <c r="H57" i="10285"/>
  <c r="H56" i="10285"/>
  <c r="H55" i="10285"/>
  <c r="H54" i="10285"/>
  <c r="H52" i="10285"/>
  <c r="H51" i="10285"/>
  <c r="H50" i="10285"/>
  <c r="H49" i="10285"/>
  <c r="H48" i="10285"/>
  <c r="H47" i="10285"/>
  <c r="H46" i="10285"/>
  <c r="H45" i="10285"/>
  <c r="H44" i="10285"/>
  <c r="H43" i="10285"/>
  <c r="H42" i="10285"/>
  <c r="H41" i="10285"/>
  <c r="H40" i="10285"/>
  <c r="H39" i="10285"/>
  <c r="H38" i="10285"/>
  <c r="H37" i="10285"/>
  <c r="H36" i="10285"/>
  <c r="H35" i="10285"/>
  <c r="H34" i="10285"/>
  <c r="H33" i="10285"/>
  <c r="H32" i="10285"/>
  <c r="H31" i="10285"/>
  <c r="H30" i="10285"/>
  <c r="H29" i="10285"/>
  <c r="H28" i="10285"/>
  <c r="H27" i="10285"/>
  <c r="H26" i="10285"/>
  <c r="H25" i="10285"/>
  <c r="H24" i="10285"/>
  <c r="H23" i="10285"/>
  <c r="H22" i="10285"/>
  <c r="H21" i="10285"/>
  <c r="H20" i="10285"/>
  <c r="H19" i="10285"/>
  <c r="H18" i="10285"/>
  <c r="H17" i="10285"/>
  <c r="H16" i="10285"/>
  <c r="H15" i="10285"/>
  <c r="H14" i="10285"/>
  <c r="H13" i="10285"/>
  <c r="H12" i="10285"/>
  <c r="H11" i="10285"/>
  <c r="H10" i="10285"/>
  <c r="H9" i="10285"/>
  <c r="H8" i="10285"/>
  <c r="B212" i="10285"/>
  <c r="A212" i="10285"/>
  <c r="C212" i="10285"/>
  <c r="D212" i="10285" s="1"/>
  <c r="H211" i="25580"/>
  <c r="H210" i="25580"/>
  <c r="H209" i="25580"/>
  <c r="H208" i="25580"/>
  <c r="H207" i="25580"/>
  <c r="H206" i="25580"/>
  <c r="H205" i="25580"/>
  <c r="H204" i="25580"/>
  <c r="H203" i="25580"/>
  <c r="H202" i="25580"/>
  <c r="H201" i="25580"/>
  <c r="H200" i="25580"/>
  <c r="H199" i="25580"/>
  <c r="H198" i="25580"/>
  <c r="H197" i="25580"/>
  <c r="H196" i="25580"/>
  <c r="H195" i="25580"/>
  <c r="H194" i="25580"/>
  <c r="H193" i="25580"/>
  <c r="H192" i="25580"/>
  <c r="H191" i="25580"/>
  <c r="H190" i="25580"/>
  <c r="H189" i="25580"/>
  <c r="H188" i="25580"/>
  <c r="H187" i="25580"/>
  <c r="H186" i="25580"/>
  <c r="H185" i="25580"/>
  <c r="H184" i="25580"/>
  <c r="H183" i="25580"/>
  <c r="H182" i="25580"/>
  <c r="H181" i="25580"/>
  <c r="H180" i="25580"/>
  <c r="H179" i="25580"/>
  <c r="H178" i="25580"/>
  <c r="H177" i="25580"/>
  <c r="H176" i="25580"/>
  <c r="H175" i="25580"/>
  <c r="H174" i="25580"/>
  <c r="H173" i="25580"/>
  <c r="H172" i="25580"/>
  <c r="H171" i="25580"/>
  <c r="H170" i="25580"/>
  <c r="H169" i="25580"/>
  <c r="H168" i="25580"/>
  <c r="H167" i="25580"/>
  <c r="H166" i="25580"/>
  <c r="H165" i="25580"/>
  <c r="H164" i="25580"/>
  <c r="H163" i="25580"/>
  <c r="H162" i="25580"/>
  <c r="H161" i="25580"/>
  <c r="H160" i="25580"/>
  <c r="H159" i="25580"/>
  <c r="H158" i="25580"/>
  <c r="H157" i="25580"/>
  <c r="H156" i="25580"/>
  <c r="H155" i="25580"/>
  <c r="H154" i="25580"/>
  <c r="H153" i="25580"/>
  <c r="H152" i="25580"/>
  <c r="H151" i="25580"/>
  <c r="H150" i="25580"/>
  <c r="H149" i="25580"/>
  <c r="H148" i="25580"/>
  <c r="H147" i="25580"/>
  <c r="H146" i="25580"/>
  <c r="H145" i="25580"/>
  <c r="H144" i="25580"/>
  <c r="H143" i="25580"/>
  <c r="H142" i="25580"/>
  <c r="H141" i="25580"/>
  <c r="H140" i="25580"/>
  <c r="H139" i="25580"/>
  <c r="H138" i="25580"/>
  <c r="H137" i="25580"/>
  <c r="H136" i="25580"/>
  <c r="H135" i="25580"/>
  <c r="H134" i="25580"/>
  <c r="H133" i="25580"/>
  <c r="H132" i="25580"/>
  <c r="H131" i="25580"/>
  <c r="H130" i="25580"/>
  <c r="H129" i="25580"/>
  <c r="H128" i="25580"/>
  <c r="H127" i="25580"/>
  <c r="H126" i="25580"/>
  <c r="H125" i="25580"/>
  <c r="H124" i="25580"/>
  <c r="H123" i="25580"/>
  <c r="H122" i="25580"/>
  <c r="H121" i="25580"/>
  <c r="H120" i="25580"/>
  <c r="H119" i="25580"/>
  <c r="H118" i="25580"/>
  <c r="H117" i="25580"/>
  <c r="H116" i="25580"/>
  <c r="H115" i="25580"/>
  <c r="H114" i="25580"/>
  <c r="H113" i="25580"/>
  <c r="H112" i="25580"/>
  <c r="H111" i="25580"/>
  <c r="H110" i="25580"/>
  <c r="H109" i="25580"/>
  <c r="H108" i="25580"/>
  <c r="H107" i="25580"/>
  <c r="H106" i="25580"/>
  <c r="H105" i="25580"/>
  <c r="H104" i="25580"/>
  <c r="H103" i="25580"/>
  <c r="H102" i="25580"/>
  <c r="H101" i="25580"/>
  <c r="H100" i="25580"/>
  <c r="H99" i="25580"/>
  <c r="H98" i="25580"/>
  <c r="H97" i="25580"/>
  <c r="H96" i="25580"/>
  <c r="H95" i="25580"/>
  <c r="H94" i="25580"/>
  <c r="H93" i="25580"/>
  <c r="H92" i="25580"/>
  <c r="H91" i="25580"/>
  <c r="H90" i="25580"/>
  <c r="H89" i="25580"/>
  <c r="H88" i="25580"/>
  <c r="H87" i="25580"/>
  <c r="H86" i="25580"/>
  <c r="H85" i="25580"/>
  <c r="H84" i="25580"/>
  <c r="H83" i="25580"/>
  <c r="H82" i="25580"/>
  <c r="H81" i="25580"/>
  <c r="H80" i="25580"/>
  <c r="H79" i="25580"/>
  <c r="H78" i="25580"/>
  <c r="H77" i="25580"/>
  <c r="H76" i="25580"/>
  <c r="H75" i="25580"/>
  <c r="H74" i="25580"/>
  <c r="H73" i="25580"/>
  <c r="H72" i="25580"/>
  <c r="H71" i="25580"/>
  <c r="H70" i="25580"/>
  <c r="H69" i="25580"/>
  <c r="H68" i="25580"/>
  <c r="H67" i="25580"/>
  <c r="H66" i="25580"/>
  <c r="H65" i="25580"/>
  <c r="H64" i="25580"/>
  <c r="H63" i="25580"/>
  <c r="H62" i="25580"/>
  <c r="H61" i="25580"/>
  <c r="H60" i="25580"/>
  <c r="H59" i="25580"/>
  <c r="H58" i="25580"/>
  <c r="H57" i="25580"/>
  <c r="H56" i="25580"/>
  <c r="H55" i="25580"/>
  <c r="H54" i="25580"/>
  <c r="H53" i="25580"/>
  <c r="H52" i="25580"/>
  <c r="H51" i="25580"/>
  <c r="H50" i="25580"/>
  <c r="H49" i="25580"/>
  <c r="H48" i="25580"/>
  <c r="H47" i="25580"/>
  <c r="H46" i="25580"/>
  <c r="H45" i="25580"/>
  <c r="H44" i="25580"/>
  <c r="H43" i="25580"/>
  <c r="H42" i="25580"/>
  <c r="H41" i="25580"/>
  <c r="H40" i="25580"/>
  <c r="H39" i="25580"/>
  <c r="H38" i="25580"/>
  <c r="H37" i="25580"/>
  <c r="H36" i="25580"/>
  <c r="H35" i="25580"/>
  <c r="H34" i="25580"/>
  <c r="H33" i="25580"/>
  <c r="H32" i="25580"/>
  <c r="H31" i="25580"/>
  <c r="H30" i="25580"/>
  <c r="H29" i="25580"/>
  <c r="H28" i="25580"/>
  <c r="H27" i="25580"/>
  <c r="H26" i="25580"/>
  <c r="H25" i="25580"/>
  <c r="H24" i="25580"/>
  <c r="H23" i="25580"/>
  <c r="H22" i="25580"/>
  <c r="H21" i="25580"/>
  <c r="H20" i="25580"/>
  <c r="H19" i="25580"/>
  <c r="H18" i="25580"/>
  <c r="H17" i="25580"/>
  <c r="H16" i="25580"/>
  <c r="H15" i="25580"/>
  <c r="H14" i="25580"/>
  <c r="H13" i="25580"/>
  <c r="H12" i="25580"/>
  <c r="H11" i="25580"/>
  <c r="H10" i="25580"/>
  <c r="H9" i="25580"/>
  <c r="H8" i="25580"/>
  <c r="B211" i="25580"/>
  <c r="A211" i="25580"/>
  <c r="C211" i="25580"/>
  <c r="H211" i="4888"/>
  <c r="H210" i="4888"/>
  <c r="H209" i="4888"/>
  <c r="H208" i="4888"/>
  <c r="H207" i="4888"/>
  <c r="H206" i="4888"/>
  <c r="H205" i="4888"/>
  <c r="H204" i="4888"/>
  <c r="H203" i="4888"/>
  <c r="H202" i="4888"/>
  <c r="H201" i="4888"/>
  <c r="H200" i="4888"/>
  <c r="H199" i="4888"/>
  <c r="H198" i="4888"/>
  <c r="H197" i="4888"/>
  <c r="H196" i="4888"/>
  <c r="H195" i="4888"/>
  <c r="H194" i="4888"/>
  <c r="H193" i="4888"/>
  <c r="H192" i="4888"/>
  <c r="H191" i="4888"/>
  <c r="H190" i="4888"/>
  <c r="H189" i="4888"/>
  <c r="H188" i="4888"/>
  <c r="H187" i="4888"/>
  <c r="H186" i="4888"/>
  <c r="H185" i="4888"/>
  <c r="H184" i="4888"/>
  <c r="H183" i="4888"/>
  <c r="H182" i="4888"/>
  <c r="H181" i="4888"/>
  <c r="H180" i="4888"/>
  <c r="H179" i="4888"/>
  <c r="H178" i="4888"/>
  <c r="H177" i="4888"/>
  <c r="H176" i="4888"/>
  <c r="H175" i="4888"/>
  <c r="H174" i="4888"/>
  <c r="H173" i="4888"/>
  <c r="H172" i="4888"/>
  <c r="H171" i="4888"/>
  <c r="H170" i="4888"/>
  <c r="H169" i="4888"/>
  <c r="H168" i="4888"/>
  <c r="H167" i="4888"/>
  <c r="H166" i="4888"/>
  <c r="H165" i="4888"/>
  <c r="H164" i="4888"/>
  <c r="H163" i="4888"/>
  <c r="H162" i="4888"/>
  <c r="H161" i="4888"/>
  <c r="H160" i="4888"/>
  <c r="H159" i="4888"/>
  <c r="H158" i="4888"/>
  <c r="H157" i="4888"/>
  <c r="H156" i="4888"/>
  <c r="H155" i="4888"/>
  <c r="H154" i="4888"/>
  <c r="H153" i="4888"/>
  <c r="H152" i="4888"/>
  <c r="H151" i="4888"/>
  <c r="H150" i="4888"/>
  <c r="H149" i="4888"/>
  <c r="H148" i="4888"/>
  <c r="H147" i="4888"/>
  <c r="H146" i="4888"/>
  <c r="H145" i="4888"/>
  <c r="H144" i="4888"/>
  <c r="H143" i="4888"/>
  <c r="H142" i="4888"/>
  <c r="H141" i="4888"/>
  <c r="H140" i="4888"/>
  <c r="H139" i="4888"/>
  <c r="H138" i="4888"/>
  <c r="H137" i="4888"/>
  <c r="H136" i="4888"/>
  <c r="H135" i="4888"/>
  <c r="H134" i="4888"/>
  <c r="H133" i="4888"/>
  <c r="H132" i="4888"/>
  <c r="H131" i="4888"/>
  <c r="H130" i="4888"/>
  <c r="H129" i="4888"/>
  <c r="H128" i="4888"/>
  <c r="H127" i="4888"/>
  <c r="H126" i="4888"/>
  <c r="H125" i="4888"/>
  <c r="H124" i="4888"/>
  <c r="H123" i="4888"/>
  <c r="H122" i="4888"/>
  <c r="H121" i="4888"/>
  <c r="H120" i="4888"/>
  <c r="H119" i="4888"/>
  <c r="H118" i="4888"/>
  <c r="H117" i="4888"/>
  <c r="H116" i="4888"/>
  <c r="H115" i="4888"/>
  <c r="H114" i="4888"/>
  <c r="H113" i="4888"/>
  <c r="H112" i="4888"/>
  <c r="H111" i="4888"/>
  <c r="H110" i="4888"/>
  <c r="H109" i="4888"/>
  <c r="H108" i="4888"/>
  <c r="H107" i="4888"/>
  <c r="H106" i="4888"/>
  <c r="H105" i="4888"/>
  <c r="H104" i="4888"/>
  <c r="H103" i="4888"/>
  <c r="H102" i="4888"/>
  <c r="H101" i="4888"/>
  <c r="H100" i="4888"/>
  <c r="H99" i="4888"/>
  <c r="H98" i="4888"/>
  <c r="H97" i="4888"/>
  <c r="H96" i="4888"/>
  <c r="H95" i="4888"/>
  <c r="H94" i="4888"/>
  <c r="H93" i="4888"/>
  <c r="H92" i="4888"/>
  <c r="H91" i="4888"/>
  <c r="H90" i="4888"/>
  <c r="H89" i="4888"/>
  <c r="H88" i="4888"/>
  <c r="H87" i="4888"/>
  <c r="H86" i="4888"/>
  <c r="H85" i="4888"/>
  <c r="H84" i="4888"/>
  <c r="H83" i="4888"/>
  <c r="H82" i="4888"/>
  <c r="H81" i="4888"/>
  <c r="H80" i="4888"/>
  <c r="H79" i="4888"/>
  <c r="H78" i="4888"/>
  <c r="H77" i="4888"/>
  <c r="H76" i="4888"/>
  <c r="H75" i="4888"/>
  <c r="H74" i="4888"/>
  <c r="H73" i="4888"/>
  <c r="H72" i="4888"/>
  <c r="H71" i="4888"/>
  <c r="H70" i="4888"/>
  <c r="H69" i="4888"/>
  <c r="H68" i="4888"/>
  <c r="H67" i="4888"/>
  <c r="H66" i="4888"/>
  <c r="H65" i="4888"/>
  <c r="H64" i="4888"/>
  <c r="H63" i="4888"/>
  <c r="H62" i="4888"/>
  <c r="H61" i="4888"/>
  <c r="H60" i="4888"/>
  <c r="H59" i="4888"/>
  <c r="H58" i="4888"/>
  <c r="H57" i="4888"/>
  <c r="H56" i="4888"/>
  <c r="H55" i="4888"/>
  <c r="H54" i="4888"/>
  <c r="H53" i="4888"/>
  <c r="H52" i="4888"/>
  <c r="H51" i="4888"/>
  <c r="H50" i="4888"/>
  <c r="H49" i="4888"/>
  <c r="H48" i="4888"/>
  <c r="H47" i="4888"/>
  <c r="H46" i="4888"/>
  <c r="H45" i="4888"/>
  <c r="H44" i="4888"/>
  <c r="H43" i="4888"/>
  <c r="H42" i="4888"/>
  <c r="H41" i="4888"/>
  <c r="H40" i="4888"/>
  <c r="H39" i="4888"/>
  <c r="H38" i="4888"/>
  <c r="H37" i="4888"/>
  <c r="H36" i="4888"/>
  <c r="H35" i="4888"/>
  <c r="H34" i="4888"/>
  <c r="H33" i="4888"/>
  <c r="H32" i="4888"/>
  <c r="H31" i="4888"/>
  <c r="H30" i="4888"/>
  <c r="H29" i="4888"/>
  <c r="H28" i="4888"/>
  <c r="H27" i="4888"/>
  <c r="H26" i="4888"/>
  <c r="H25" i="4888"/>
  <c r="H24" i="4888"/>
  <c r="H23" i="4888"/>
  <c r="H22" i="4888"/>
  <c r="H21" i="4888"/>
  <c r="H20" i="4888"/>
  <c r="H19" i="4888"/>
  <c r="H18" i="4888"/>
  <c r="H17" i="4888"/>
  <c r="H16" i="4888"/>
  <c r="H15" i="4888"/>
  <c r="H14" i="4888"/>
  <c r="H13" i="4888"/>
  <c r="H12" i="4888"/>
  <c r="H11" i="4888"/>
  <c r="H10" i="4888"/>
  <c r="H9" i="4888"/>
  <c r="H8" i="4888"/>
  <c r="A211" i="4888"/>
  <c r="B211" i="4888"/>
  <c r="C211" i="4888" s="1"/>
  <c r="F211" i="4888"/>
  <c r="G211" i="4888"/>
  <c r="H211" i="3584"/>
  <c r="H210" i="3584"/>
  <c r="H209" i="3584"/>
  <c r="H208" i="3584"/>
  <c r="H207" i="3584"/>
  <c r="H206" i="3584"/>
  <c r="H205" i="3584"/>
  <c r="H204" i="3584"/>
  <c r="H203" i="3584"/>
  <c r="H202" i="3584"/>
  <c r="H201" i="3584"/>
  <c r="H200" i="3584"/>
  <c r="H199" i="3584"/>
  <c r="H198" i="3584"/>
  <c r="H197" i="3584"/>
  <c r="H196" i="3584"/>
  <c r="H195" i="3584"/>
  <c r="H194" i="3584"/>
  <c r="H193" i="3584"/>
  <c r="H192" i="3584"/>
  <c r="H191" i="3584"/>
  <c r="H190" i="3584"/>
  <c r="H189" i="3584"/>
  <c r="H188" i="3584"/>
  <c r="H187" i="3584"/>
  <c r="H186" i="3584"/>
  <c r="H185" i="3584"/>
  <c r="H184" i="3584"/>
  <c r="H183" i="3584"/>
  <c r="H182" i="3584"/>
  <c r="H181" i="3584"/>
  <c r="H180" i="3584"/>
  <c r="H179" i="3584"/>
  <c r="H178" i="3584"/>
  <c r="H177" i="3584"/>
  <c r="H176" i="3584"/>
  <c r="H175" i="3584"/>
  <c r="H174" i="3584"/>
  <c r="H173" i="3584"/>
  <c r="H172" i="3584"/>
  <c r="H171" i="3584"/>
  <c r="H170" i="3584"/>
  <c r="H169" i="3584"/>
  <c r="H168" i="3584"/>
  <c r="H167" i="3584"/>
  <c r="H166" i="3584"/>
  <c r="H165" i="3584"/>
  <c r="H164" i="3584"/>
  <c r="H163" i="3584"/>
  <c r="H162" i="3584"/>
  <c r="H161" i="3584"/>
  <c r="H160" i="3584"/>
  <c r="H159" i="3584"/>
  <c r="H158" i="3584"/>
  <c r="H157" i="3584"/>
  <c r="H156" i="3584"/>
  <c r="H155" i="3584"/>
  <c r="H154" i="3584"/>
  <c r="H153" i="3584"/>
  <c r="H152" i="3584"/>
  <c r="H151" i="3584"/>
  <c r="H150" i="3584"/>
  <c r="H149" i="3584"/>
  <c r="H148" i="3584"/>
  <c r="H147" i="3584"/>
  <c r="H146" i="3584"/>
  <c r="H145" i="3584"/>
  <c r="H144" i="3584"/>
  <c r="H143" i="3584"/>
  <c r="H142" i="3584"/>
  <c r="H141" i="3584"/>
  <c r="H140" i="3584"/>
  <c r="H139" i="3584"/>
  <c r="H138" i="3584"/>
  <c r="H137" i="3584"/>
  <c r="H136" i="3584"/>
  <c r="H135" i="3584"/>
  <c r="H134" i="3584"/>
  <c r="H133" i="3584"/>
  <c r="H132" i="3584"/>
  <c r="H131" i="3584"/>
  <c r="H130" i="3584"/>
  <c r="H129" i="3584"/>
  <c r="H128" i="3584"/>
  <c r="H127" i="3584"/>
  <c r="H126" i="3584"/>
  <c r="H125" i="3584"/>
  <c r="H124" i="3584"/>
  <c r="H123" i="3584"/>
  <c r="H122" i="3584"/>
  <c r="H121" i="3584"/>
  <c r="H120" i="3584"/>
  <c r="H119" i="3584"/>
  <c r="H118" i="3584"/>
  <c r="H117" i="3584"/>
  <c r="H116" i="3584"/>
  <c r="H115" i="3584"/>
  <c r="H114" i="3584"/>
  <c r="H113" i="3584"/>
  <c r="H112" i="3584"/>
  <c r="H111" i="3584"/>
  <c r="H110" i="3584"/>
  <c r="H109" i="3584"/>
  <c r="H108" i="3584"/>
  <c r="H107" i="3584"/>
  <c r="H106" i="3584"/>
  <c r="H105" i="3584"/>
  <c r="H104" i="3584"/>
  <c r="H103" i="3584"/>
  <c r="H102" i="3584"/>
  <c r="H101" i="3584"/>
  <c r="H100" i="3584"/>
  <c r="H99" i="3584"/>
  <c r="H98" i="3584"/>
  <c r="H97" i="3584"/>
  <c r="H96" i="3584"/>
  <c r="H95" i="3584"/>
  <c r="H94" i="3584"/>
  <c r="H93" i="3584"/>
  <c r="H92" i="3584"/>
  <c r="H91" i="3584"/>
  <c r="H90" i="3584"/>
  <c r="H89" i="3584"/>
  <c r="H88" i="3584"/>
  <c r="H87" i="3584"/>
  <c r="H86" i="3584"/>
  <c r="H85" i="3584"/>
  <c r="H84" i="3584"/>
  <c r="H83" i="3584"/>
  <c r="H82" i="3584"/>
  <c r="H81" i="3584"/>
  <c r="H80" i="3584"/>
  <c r="H79" i="3584"/>
  <c r="H78" i="3584"/>
  <c r="H77" i="3584"/>
  <c r="H76" i="3584"/>
  <c r="H75" i="3584"/>
  <c r="H74" i="3584"/>
  <c r="H73" i="3584"/>
  <c r="H72" i="3584"/>
  <c r="H71" i="3584"/>
  <c r="H70" i="3584"/>
  <c r="H69" i="3584"/>
  <c r="H68" i="3584"/>
  <c r="H67" i="3584"/>
  <c r="H66" i="3584"/>
  <c r="H65" i="3584"/>
  <c r="H64" i="3584"/>
  <c r="H63" i="3584"/>
  <c r="H62" i="3584"/>
  <c r="H61" i="3584"/>
  <c r="H60" i="3584"/>
  <c r="H59" i="3584"/>
  <c r="H58" i="3584"/>
  <c r="H57" i="3584"/>
  <c r="H56" i="3584"/>
  <c r="H55" i="3584"/>
  <c r="H54" i="3584"/>
  <c r="H53" i="3584"/>
  <c r="H52" i="3584"/>
  <c r="H51" i="3584"/>
  <c r="H50" i="3584"/>
  <c r="H49" i="3584"/>
  <c r="H48" i="3584"/>
  <c r="H47" i="3584"/>
  <c r="H46" i="3584"/>
  <c r="H45" i="3584"/>
  <c r="H44" i="3584"/>
  <c r="H43" i="3584"/>
  <c r="H42" i="3584"/>
  <c r="H41" i="3584"/>
  <c r="H40" i="3584"/>
  <c r="H39" i="3584"/>
  <c r="H38" i="3584"/>
  <c r="H37" i="3584"/>
  <c r="H36" i="3584"/>
  <c r="H35" i="3584"/>
  <c r="H34" i="3584"/>
  <c r="H33" i="3584"/>
  <c r="H32" i="3584"/>
  <c r="H31" i="3584"/>
  <c r="H30" i="3584"/>
  <c r="H29" i="3584"/>
  <c r="H28" i="3584"/>
  <c r="H27" i="3584"/>
  <c r="H26" i="3584"/>
  <c r="H25" i="3584"/>
  <c r="H24" i="3584"/>
  <c r="H23" i="3584"/>
  <c r="H22" i="3584"/>
  <c r="H21" i="3584"/>
  <c r="H20" i="3584"/>
  <c r="H19" i="3584"/>
  <c r="H18" i="3584"/>
  <c r="H17" i="3584"/>
  <c r="H16" i="3584"/>
  <c r="H15" i="3584"/>
  <c r="H14" i="3584"/>
  <c r="H13" i="3584"/>
  <c r="H12" i="3584"/>
  <c r="H11" i="3584"/>
  <c r="H10" i="3584"/>
  <c r="H9" i="3584"/>
  <c r="H8" i="3584"/>
  <c r="B211" i="3584"/>
  <c r="F211" i="3584" s="1"/>
  <c r="A211" i="3584"/>
  <c r="D211" i="3584"/>
  <c r="C211" i="3584"/>
  <c r="H211" i="25588"/>
  <c r="H210" i="25588"/>
  <c r="H209" i="25588"/>
  <c r="H208" i="25588"/>
  <c r="H207" i="25588"/>
  <c r="H206" i="25588"/>
  <c r="H205" i="25588"/>
  <c r="H204" i="25588"/>
  <c r="H203" i="25588"/>
  <c r="H202" i="25588"/>
  <c r="H201" i="25588"/>
  <c r="H200" i="25588"/>
  <c r="H199" i="25588"/>
  <c r="H198" i="25588"/>
  <c r="H197" i="25588"/>
  <c r="H196" i="25588"/>
  <c r="H195" i="25588"/>
  <c r="H194" i="25588"/>
  <c r="H193" i="25588"/>
  <c r="H192" i="25588"/>
  <c r="H191" i="25588"/>
  <c r="H190" i="25588"/>
  <c r="H189" i="25588"/>
  <c r="H188" i="25588"/>
  <c r="H187" i="25588"/>
  <c r="H186" i="25588"/>
  <c r="H185" i="25588"/>
  <c r="H184" i="25588"/>
  <c r="H183" i="25588"/>
  <c r="H182" i="25588"/>
  <c r="H181" i="25588"/>
  <c r="H180" i="25588"/>
  <c r="H179" i="25588"/>
  <c r="H178" i="25588"/>
  <c r="H177" i="25588"/>
  <c r="H176" i="25588"/>
  <c r="H175" i="25588"/>
  <c r="H174" i="25588"/>
  <c r="H173" i="25588"/>
  <c r="H172" i="25588"/>
  <c r="H171" i="25588"/>
  <c r="H170" i="25588"/>
  <c r="H169" i="25588"/>
  <c r="H168" i="25588"/>
  <c r="H167" i="25588"/>
  <c r="H166" i="25588"/>
  <c r="H165" i="25588"/>
  <c r="H164" i="25588"/>
  <c r="H163" i="25588"/>
  <c r="H162" i="25588"/>
  <c r="H161" i="25588"/>
  <c r="H160" i="25588"/>
  <c r="H159" i="25588"/>
  <c r="H158" i="25588"/>
  <c r="H157" i="25588"/>
  <c r="H156" i="25588"/>
  <c r="H155" i="25588"/>
  <c r="H154" i="25588"/>
  <c r="H153" i="25588"/>
  <c r="H152" i="25588"/>
  <c r="H151" i="25588"/>
  <c r="H150" i="25588"/>
  <c r="H149" i="25588"/>
  <c r="H148" i="25588"/>
  <c r="H147" i="25588"/>
  <c r="H146" i="25588"/>
  <c r="H145" i="25588"/>
  <c r="H144" i="25588"/>
  <c r="H143" i="25588"/>
  <c r="H142" i="25588"/>
  <c r="H141" i="25588"/>
  <c r="H140" i="25588"/>
  <c r="H139" i="25588"/>
  <c r="H138" i="25588"/>
  <c r="H137" i="25588"/>
  <c r="H136" i="25588"/>
  <c r="H135" i="25588"/>
  <c r="H134" i="25588"/>
  <c r="H133" i="25588"/>
  <c r="H132" i="25588"/>
  <c r="H131" i="25588"/>
  <c r="H130" i="25588"/>
  <c r="H129" i="25588"/>
  <c r="H128" i="25588"/>
  <c r="H127" i="25588"/>
  <c r="H126" i="25588"/>
  <c r="H125" i="25588"/>
  <c r="H124" i="25588"/>
  <c r="H123" i="25588"/>
  <c r="H122" i="25588"/>
  <c r="H121" i="25588"/>
  <c r="H120" i="25588"/>
  <c r="H119" i="25588"/>
  <c r="H118" i="25588"/>
  <c r="H117" i="25588"/>
  <c r="H116" i="25588"/>
  <c r="H115" i="25588"/>
  <c r="H114" i="25588"/>
  <c r="H113" i="25588"/>
  <c r="H112" i="25588"/>
  <c r="H111" i="25588"/>
  <c r="H110" i="25588"/>
  <c r="H109" i="25588"/>
  <c r="H108" i="25588"/>
  <c r="H107" i="25588"/>
  <c r="H106" i="25588"/>
  <c r="H105" i="25588"/>
  <c r="H104" i="25588"/>
  <c r="H103" i="25588"/>
  <c r="H102" i="25588"/>
  <c r="H101" i="25588"/>
  <c r="H100" i="25588"/>
  <c r="H99" i="25588"/>
  <c r="H98" i="25588"/>
  <c r="H97" i="25588"/>
  <c r="H96" i="25588"/>
  <c r="H95" i="25588"/>
  <c r="H94" i="25588"/>
  <c r="H93" i="25588"/>
  <c r="H92" i="25588"/>
  <c r="H91" i="25588"/>
  <c r="H90" i="25588"/>
  <c r="H89" i="25588"/>
  <c r="H88" i="25588"/>
  <c r="H87" i="25588"/>
  <c r="H86" i="25588"/>
  <c r="H85" i="25588"/>
  <c r="H84" i="25588"/>
  <c r="H83" i="25588"/>
  <c r="H82" i="25588"/>
  <c r="H81" i="25588"/>
  <c r="H80" i="25588"/>
  <c r="H79" i="25588"/>
  <c r="H78" i="25588"/>
  <c r="H77" i="25588"/>
  <c r="H76" i="25588"/>
  <c r="H75" i="25588"/>
  <c r="H74" i="25588"/>
  <c r="H73" i="25588"/>
  <c r="H72" i="25588"/>
  <c r="H71" i="25588"/>
  <c r="H70" i="25588"/>
  <c r="H69" i="25588"/>
  <c r="H68" i="25588"/>
  <c r="H67" i="25588"/>
  <c r="H66" i="25588"/>
  <c r="H65" i="25588"/>
  <c r="H64" i="25588"/>
  <c r="H63" i="25588"/>
  <c r="H62" i="25588"/>
  <c r="H61" i="25588"/>
  <c r="H60" i="25588"/>
  <c r="H59" i="25588"/>
  <c r="H58" i="25588"/>
  <c r="H57" i="25588"/>
  <c r="H56" i="25588"/>
  <c r="H55" i="25588"/>
  <c r="H54" i="25588"/>
  <c r="H53" i="25588"/>
  <c r="H52" i="25588"/>
  <c r="H51" i="25588"/>
  <c r="H50" i="25588"/>
  <c r="H49" i="25588"/>
  <c r="H48" i="25588"/>
  <c r="H47" i="25588"/>
  <c r="H46" i="25588"/>
  <c r="H45" i="25588"/>
  <c r="H44" i="25588"/>
  <c r="H43" i="25588"/>
  <c r="H42" i="25588"/>
  <c r="H41" i="25588"/>
  <c r="H40" i="25588"/>
  <c r="H39" i="25588"/>
  <c r="H38" i="25588"/>
  <c r="H37" i="25588"/>
  <c r="H36" i="25588"/>
  <c r="H35" i="25588"/>
  <c r="H34" i="25588"/>
  <c r="H33" i="25588"/>
  <c r="H32" i="25588"/>
  <c r="H31" i="25588"/>
  <c r="H30" i="25588"/>
  <c r="H29" i="25588"/>
  <c r="H28" i="25588"/>
  <c r="H27" i="25588"/>
  <c r="H26" i="25588"/>
  <c r="H25" i="25588"/>
  <c r="H24" i="25588"/>
  <c r="H23" i="25588"/>
  <c r="H22" i="25588"/>
  <c r="H21" i="25588"/>
  <c r="H20" i="25588"/>
  <c r="H19" i="25588"/>
  <c r="H18" i="25588"/>
  <c r="H17" i="25588"/>
  <c r="H16" i="25588"/>
  <c r="H15" i="25588"/>
  <c r="H14" i="25588"/>
  <c r="H13" i="25588"/>
  <c r="H12" i="25588"/>
  <c r="H11" i="25588"/>
  <c r="H10" i="25588"/>
  <c r="H9" i="25588"/>
  <c r="H8" i="25588"/>
  <c r="A211" i="25588"/>
  <c r="B211" i="25588"/>
  <c r="C211" i="25588" s="1"/>
  <c r="H211" i="25590"/>
  <c r="H210" i="25590"/>
  <c r="H209" i="25590"/>
  <c r="H208" i="25590"/>
  <c r="H207" i="25590"/>
  <c r="H206" i="25590"/>
  <c r="H205" i="25590"/>
  <c r="H204" i="25590"/>
  <c r="H203" i="25590"/>
  <c r="H202" i="25590"/>
  <c r="H201" i="25590"/>
  <c r="H200" i="25590"/>
  <c r="H199" i="25590"/>
  <c r="H198" i="25590"/>
  <c r="H197" i="25590"/>
  <c r="H196" i="25590"/>
  <c r="H195" i="25590"/>
  <c r="H194" i="25590"/>
  <c r="H193" i="25590"/>
  <c r="H192" i="25590"/>
  <c r="H191" i="25590"/>
  <c r="H190" i="25590"/>
  <c r="H189" i="25590"/>
  <c r="H188" i="25590"/>
  <c r="H187" i="25590"/>
  <c r="H186" i="25590"/>
  <c r="H185" i="25590"/>
  <c r="H184" i="25590"/>
  <c r="H183" i="25590"/>
  <c r="H182" i="25590"/>
  <c r="H181" i="25590"/>
  <c r="H180" i="25590"/>
  <c r="H179" i="25590"/>
  <c r="H178" i="25590"/>
  <c r="H177" i="25590"/>
  <c r="H176" i="25590"/>
  <c r="H175" i="25590"/>
  <c r="H174" i="25590"/>
  <c r="H173" i="25590"/>
  <c r="H172" i="25590"/>
  <c r="H171" i="25590"/>
  <c r="H170" i="25590"/>
  <c r="H169" i="25590"/>
  <c r="H168" i="25590"/>
  <c r="H167" i="25590"/>
  <c r="H166" i="25590"/>
  <c r="H165" i="25590"/>
  <c r="H164" i="25590"/>
  <c r="H163" i="25590"/>
  <c r="H162" i="25590"/>
  <c r="H161" i="25590"/>
  <c r="H160" i="25590"/>
  <c r="H159" i="25590"/>
  <c r="H158" i="25590"/>
  <c r="H157" i="25590"/>
  <c r="H156" i="25590"/>
  <c r="H155" i="25590"/>
  <c r="H154" i="25590"/>
  <c r="H153" i="25590"/>
  <c r="H152" i="25590"/>
  <c r="H151" i="25590"/>
  <c r="H150" i="25590"/>
  <c r="H149" i="25590"/>
  <c r="H148" i="25590"/>
  <c r="H147" i="25590"/>
  <c r="H146" i="25590"/>
  <c r="H145" i="25590"/>
  <c r="H144" i="25590"/>
  <c r="H143" i="25590"/>
  <c r="H142" i="25590"/>
  <c r="H141" i="25590"/>
  <c r="H140" i="25590"/>
  <c r="H139" i="25590"/>
  <c r="H138" i="25590"/>
  <c r="H137" i="25590"/>
  <c r="H136" i="25590"/>
  <c r="H135" i="25590"/>
  <c r="H134" i="25590"/>
  <c r="H133" i="25590"/>
  <c r="H132" i="25590"/>
  <c r="H131" i="25590"/>
  <c r="H130" i="25590"/>
  <c r="H129" i="25590"/>
  <c r="H128" i="25590"/>
  <c r="H127" i="25590"/>
  <c r="H126" i="25590"/>
  <c r="H125" i="25590"/>
  <c r="H124" i="25590"/>
  <c r="H123" i="25590"/>
  <c r="H122" i="25590"/>
  <c r="H121" i="25590"/>
  <c r="H120" i="25590"/>
  <c r="H119" i="25590"/>
  <c r="H118" i="25590"/>
  <c r="H117" i="25590"/>
  <c r="H116" i="25590"/>
  <c r="H115" i="25590"/>
  <c r="H114" i="25590"/>
  <c r="H113" i="25590"/>
  <c r="H112" i="25590"/>
  <c r="H111" i="25590"/>
  <c r="H110" i="25590"/>
  <c r="H109" i="25590"/>
  <c r="H108" i="25590"/>
  <c r="H107" i="25590"/>
  <c r="H106" i="25590"/>
  <c r="H105" i="25590"/>
  <c r="H104" i="25590"/>
  <c r="H103" i="25590"/>
  <c r="H102" i="25590"/>
  <c r="H101" i="25590"/>
  <c r="H100" i="25590"/>
  <c r="H99" i="25590"/>
  <c r="H98" i="25590"/>
  <c r="H97" i="25590"/>
  <c r="H96" i="25590"/>
  <c r="H95" i="25590"/>
  <c r="H94" i="25590"/>
  <c r="H93" i="25590"/>
  <c r="H92" i="25590"/>
  <c r="H91" i="25590"/>
  <c r="H90" i="25590"/>
  <c r="H89" i="25590"/>
  <c r="H88" i="25590"/>
  <c r="H87" i="25590"/>
  <c r="H86" i="25590"/>
  <c r="H85" i="25590"/>
  <c r="H84" i="25590"/>
  <c r="H83" i="25590"/>
  <c r="H82" i="25590"/>
  <c r="H81" i="25590"/>
  <c r="H80" i="25590"/>
  <c r="H79" i="25590"/>
  <c r="H78" i="25590"/>
  <c r="H77" i="25590"/>
  <c r="H76" i="25590"/>
  <c r="H75" i="25590"/>
  <c r="H74" i="25590"/>
  <c r="H73" i="25590"/>
  <c r="H72" i="25590"/>
  <c r="H71" i="25590"/>
  <c r="H70" i="25590"/>
  <c r="H69" i="25590"/>
  <c r="H68" i="25590"/>
  <c r="H67" i="25590"/>
  <c r="H66" i="25590"/>
  <c r="H65" i="25590"/>
  <c r="H64" i="25590"/>
  <c r="H63" i="25590"/>
  <c r="H62" i="25590"/>
  <c r="H61" i="25590"/>
  <c r="H60" i="25590"/>
  <c r="H59" i="25590"/>
  <c r="H58" i="25590"/>
  <c r="H57" i="25590"/>
  <c r="H56" i="25590"/>
  <c r="H55" i="25590"/>
  <c r="H54" i="25590"/>
  <c r="H53" i="25590"/>
  <c r="H52" i="25590"/>
  <c r="H51" i="25590"/>
  <c r="H50" i="25590"/>
  <c r="H49" i="25590"/>
  <c r="H48" i="25590"/>
  <c r="H47" i="25590"/>
  <c r="H46" i="25590"/>
  <c r="H45" i="25590"/>
  <c r="H44" i="25590"/>
  <c r="H43" i="25590"/>
  <c r="H42" i="25590"/>
  <c r="H41" i="25590"/>
  <c r="H40" i="25590"/>
  <c r="H39" i="25590"/>
  <c r="H38" i="25590"/>
  <c r="H37" i="25590"/>
  <c r="H36" i="25590"/>
  <c r="H35" i="25590"/>
  <c r="H34" i="25590"/>
  <c r="H33" i="25590"/>
  <c r="H32" i="25590"/>
  <c r="H31" i="25590"/>
  <c r="H30" i="25590"/>
  <c r="H29" i="25590"/>
  <c r="H28" i="25590"/>
  <c r="H27" i="25590"/>
  <c r="H26" i="25590"/>
  <c r="H25" i="25590"/>
  <c r="H24" i="25590"/>
  <c r="H23" i="25590"/>
  <c r="H22" i="25590"/>
  <c r="H21" i="25590"/>
  <c r="H20" i="25590"/>
  <c r="H19" i="25590"/>
  <c r="H18" i="25590"/>
  <c r="H17" i="25590"/>
  <c r="H16" i="25590"/>
  <c r="H15" i="25590"/>
  <c r="H14" i="25590"/>
  <c r="H13" i="25590"/>
  <c r="H12" i="25590"/>
  <c r="H11" i="25590"/>
  <c r="H10" i="25590"/>
  <c r="H9" i="25590"/>
  <c r="H8" i="25590"/>
  <c r="A211" i="25590"/>
  <c r="B211" i="25590"/>
  <c r="C211" i="25590" s="1"/>
  <c r="F211" i="25590"/>
  <c r="H110" i="25587"/>
  <c r="H109" i="25587"/>
  <c r="H108" i="25587"/>
  <c r="H107" i="25587"/>
  <c r="H106" i="25587"/>
  <c r="H105" i="25587"/>
  <c r="H104" i="25587"/>
  <c r="H103" i="25587"/>
  <c r="H102" i="25587"/>
  <c r="H101" i="25587"/>
  <c r="H100" i="25587"/>
  <c r="H99" i="25587"/>
  <c r="H98" i="25587"/>
  <c r="H97" i="25587"/>
  <c r="H96" i="25587"/>
  <c r="H95" i="25587"/>
  <c r="H94" i="25587"/>
  <c r="H93" i="25587"/>
  <c r="H92" i="25587"/>
  <c r="H91" i="25587"/>
  <c r="H90" i="25587"/>
  <c r="H89" i="25587"/>
  <c r="H88" i="25587"/>
  <c r="H87" i="25587"/>
  <c r="H86" i="25587"/>
  <c r="H85" i="25587"/>
  <c r="H84" i="25587"/>
  <c r="H83" i="25587"/>
  <c r="H82" i="25587"/>
  <c r="H81" i="25587"/>
  <c r="H80" i="25587"/>
  <c r="H79" i="25587"/>
  <c r="H78" i="25587"/>
  <c r="H77" i="25587"/>
  <c r="H76" i="25587"/>
  <c r="H75" i="25587"/>
  <c r="H74" i="25587"/>
  <c r="H73" i="25587"/>
  <c r="H72" i="25587"/>
  <c r="H71" i="25587"/>
  <c r="H70" i="25587"/>
  <c r="H69" i="25587"/>
  <c r="H68" i="25587"/>
  <c r="H67" i="25587"/>
  <c r="H66" i="25587"/>
  <c r="H65" i="25587"/>
  <c r="H64" i="25587"/>
  <c r="H63" i="25587"/>
  <c r="H62" i="25587"/>
  <c r="H61" i="25587"/>
  <c r="H60" i="25587"/>
  <c r="H59" i="25587"/>
  <c r="H58" i="25587"/>
  <c r="H57" i="25587"/>
  <c r="H56" i="25587"/>
  <c r="H55" i="25587"/>
  <c r="H54" i="25587"/>
  <c r="H53" i="25587"/>
  <c r="H52" i="25587"/>
  <c r="H51" i="25587"/>
  <c r="H50" i="25587"/>
  <c r="H49" i="25587"/>
  <c r="H48" i="25587"/>
  <c r="H47" i="25587"/>
  <c r="H46" i="25587"/>
  <c r="H45" i="25587"/>
  <c r="H44" i="25587"/>
  <c r="H43" i="25587"/>
  <c r="H42" i="25587"/>
  <c r="H41" i="25587"/>
  <c r="H40" i="25587"/>
  <c r="H39" i="25587"/>
  <c r="H38" i="25587"/>
  <c r="H37" i="25587"/>
  <c r="H36" i="25587"/>
  <c r="H35" i="25587"/>
  <c r="H34" i="25587"/>
  <c r="H33" i="25587"/>
  <c r="H32" i="25587"/>
  <c r="H31" i="25587"/>
  <c r="H30" i="25587"/>
  <c r="H29" i="25587"/>
  <c r="H28" i="25587"/>
  <c r="H27" i="25587"/>
  <c r="H26" i="25587"/>
  <c r="H25" i="25587"/>
  <c r="H24" i="25587"/>
  <c r="H23" i="25587"/>
  <c r="H22" i="25587"/>
  <c r="H21" i="25587"/>
  <c r="H20" i="25587"/>
  <c r="H19" i="25587"/>
  <c r="H18" i="25587"/>
  <c r="H17" i="25587"/>
  <c r="H16" i="25587"/>
  <c r="H15" i="25587"/>
  <c r="H14" i="25587"/>
  <c r="H13" i="25587"/>
  <c r="H12" i="25587"/>
  <c r="H11" i="25587"/>
  <c r="H10" i="25587"/>
  <c r="H9" i="25587"/>
  <c r="H8" i="25587"/>
  <c r="B110" i="25587"/>
  <c r="C110" i="25587" s="1"/>
  <c r="G110" i="25587" s="1"/>
  <c r="A110" i="25587"/>
  <c r="F110" i="25587"/>
  <c r="H110" i="25586"/>
  <c r="H109" i="25586"/>
  <c r="H108" i="25586"/>
  <c r="H107" i="25586"/>
  <c r="H106" i="25586"/>
  <c r="H105" i="25586"/>
  <c r="H104" i="25586"/>
  <c r="H103" i="25586"/>
  <c r="H102" i="25586"/>
  <c r="H101" i="25586"/>
  <c r="H100" i="25586"/>
  <c r="H99" i="25586"/>
  <c r="H98" i="25586"/>
  <c r="H97" i="25586"/>
  <c r="H96" i="25586"/>
  <c r="H95" i="25586"/>
  <c r="H94" i="25586"/>
  <c r="H93" i="25586"/>
  <c r="H92" i="25586"/>
  <c r="H91" i="25586"/>
  <c r="H90" i="25586"/>
  <c r="H89" i="25586"/>
  <c r="H88" i="25586"/>
  <c r="H87" i="25586"/>
  <c r="H86" i="25586"/>
  <c r="H85" i="25586"/>
  <c r="H84" i="25586"/>
  <c r="H83" i="25586"/>
  <c r="H82" i="25586"/>
  <c r="H81" i="25586"/>
  <c r="H80" i="25586"/>
  <c r="H79" i="25586"/>
  <c r="H78" i="25586"/>
  <c r="H77" i="25586"/>
  <c r="H76" i="25586"/>
  <c r="H75" i="25586"/>
  <c r="H74" i="25586"/>
  <c r="H73" i="25586"/>
  <c r="H72" i="25586"/>
  <c r="H71" i="25586"/>
  <c r="H70" i="25586"/>
  <c r="H69" i="25586"/>
  <c r="H68" i="25586"/>
  <c r="H67" i="25586"/>
  <c r="H66" i="25586"/>
  <c r="H65" i="25586"/>
  <c r="H64" i="25586"/>
  <c r="H63" i="25586"/>
  <c r="H62" i="25586"/>
  <c r="H61" i="25586"/>
  <c r="H60" i="25586"/>
  <c r="H59" i="25586"/>
  <c r="H58" i="25586"/>
  <c r="H57" i="25586"/>
  <c r="H56" i="25586"/>
  <c r="H55" i="25586"/>
  <c r="H54" i="25586"/>
  <c r="H53" i="25586"/>
  <c r="H52" i="25586"/>
  <c r="H51" i="25586"/>
  <c r="H50" i="25586"/>
  <c r="H49" i="25586"/>
  <c r="H48" i="25586"/>
  <c r="H47" i="25586"/>
  <c r="H46" i="25586"/>
  <c r="H45" i="25586"/>
  <c r="H44" i="25586"/>
  <c r="H43" i="25586"/>
  <c r="H42" i="25586"/>
  <c r="H41" i="25586"/>
  <c r="H40" i="25586"/>
  <c r="H39" i="25586"/>
  <c r="H38" i="25586"/>
  <c r="H37" i="25586"/>
  <c r="H36" i="25586"/>
  <c r="H35" i="25586"/>
  <c r="H34" i="25586"/>
  <c r="H33" i="25586"/>
  <c r="H32" i="25586"/>
  <c r="H31" i="25586"/>
  <c r="H30" i="25586"/>
  <c r="H29" i="25586"/>
  <c r="H28" i="25586"/>
  <c r="H27" i="25586"/>
  <c r="H26" i="25586"/>
  <c r="H25" i="25586"/>
  <c r="H24" i="25586"/>
  <c r="H23" i="25586"/>
  <c r="H22" i="25586"/>
  <c r="H21" i="25586"/>
  <c r="H20" i="25586"/>
  <c r="H19" i="25586"/>
  <c r="H18" i="25586"/>
  <c r="H17" i="25586"/>
  <c r="H16" i="25586"/>
  <c r="H15" i="25586"/>
  <c r="H14" i="25586"/>
  <c r="H13" i="25586"/>
  <c r="H12" i="25586"/>
  <c r="H11" i="25586"/>
  <c r="H10" i="25586"/>
  <c r="H9" i="25586"/>
  <c r="H8" i="25586"/>
  <c r="B110" i="25586"/>
  <c r="C110" i="25586" s="1"/>
  <c r="A110" i="25586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B211" i="1"/>
  <c r="D211" i="1" s="1"/>
  <c r="G211" i="2316" l="1"/>
  <c r="F211" i="2316"/>
  <c r="E211" i="2316"/>
  <c r="D211" i="2316"/>
  <c r="H12" i="1024"/>
  <c r="H23" i="1024"/>
  <c r="H33" i="1024"/>
  <c r="H44" i="1024"/>
  <c r="H55" i="1024"/>
  <c r="H65" i="1024"/>
  <c r="H76" i="1024"/>
  <c r="H87" i="1024"/>
  <c r="H97" i="1024"/>
  <c r="H108" i="1024"/>
  <c r="H119" i="1024"/>
  <c r="H129" i="1024"/>
  <c r="H140" i="1024"/>
  <c r="H151" i="1024"/>
  <c r="H161" i="1024"/>
  <c r="H172" i="1024"/>
  <c r="H183" i="1024"/>
  <c r="H193" i="1024"/>
  <c r="H204" i="1024"/>
  <c r="H13" i="1024"/>
  <c r="H24" i="1024"/>
  <c r="H35" i="1024"/>
  <c r="H45" i="1024"/>
  <c r="H56" i="1024"/>
  <c r="H67" i="1024"/>
  <c r="H77" i="1024"/>
  <c r="H88" i="1024"/>
  <c r="H99" i="1024"/>
  <c r="H109" i="1024"/>
  <c r="H120" i="1024"/>
  <c r="H131" i="1024"/>
  <c r="H141" i="1024"/>
  <c r="H152" i="1024"/>
  <c r="H163" i="1024"/>
  <c r="H173" i="1024"/>
  <c r="H184" i="1024"/>
  <c r="H195" i="1024"/>
  <c r="H205" i="1024"/>
  <c r="H15" i="1024"/>
  <c r="H25" i="1024"/>
  <c r="H36" i="1024"/>
  <c r="H47" i="1024"/>
  <c r="H57" i="1024"/>
  <c r="H68" i="1024"/>
  <c r="H79" i="1024"/>
  <c r="H89" i="1024"/>
  <c r="H100" i="1024"/>
  <c r="H111" i="1024"/>
  <c r="H121" i="1024"/>
  <c r="H132" i="1024"/>
  <c r="H143" i="1024"/>
  <c r="H153" i="1024"/>
  <c r="H164" i="1024"/>
  <c r="H175" i="1024"/>
  <c r="H185" i="1024"/>
  <c r="H196" i="1024"/>
  <c r="H207" i="1024"/>
  <c r="H165" i="1024"/>
  <c r="H176" i="1024"/>
  <c r="H187" i="1024"/>
  <c r="H197" i="1024"/>
  <c r="H208" i="1024"/>
  <c r="H17" i="1024"/>
  <c r="H28" i="1024"/>
  <c r="H39" i="1024"/>
  <c r="H49" i="1024"/>
  <c r="H60" i="1024"/>
  <c r="H71" i="1024"/>
  <c r="H81" i="1024"/>
  <c r="H92" i="1024"/>
  <c r="H103" i="1024"/>
  <c r="H113" i="1024"/>
  <c r="H124" i="1024"/>
  <c r="H135" i="1024"/>
  <c r="H145" i="1024"/>
  <c r="H156" i="1024"/>
  <c r="H167" i="1024"/>
  <c r="H177" i="1024"/>
  <c r="H188" i="1024"/>
  <c r="H199" i="1024"/>
  <c r="H211" i="1024"/>
  <c r="H8" i="1024"/>
  <c r="H19" i="1024"/>
  <c r="H29" i="1024"/>
  <c r="H40" i="1024"/>
  <c r="H51" i="1024"/>
  <c r="H61" i="1024"/>
  <c r="H72" i="1024"/>
  <c r="H83" i="1024"/>
  <c r="H93" i="1024"/>
  <c r="H104" i="1024"/>
  <c r="H115" i="1024"/>
  <c r="H125" i="1024"/>
  <c r="H136" i="1024"/>
  <c r="H147" i="1024"/>
  <c r="H157" i="1024"/>
  <c r="H168" i="1024"/>
  <c r="H179" i="1024"/>
  <c r="H189" i="1024"/>
  <c r="H200" i="1024"/>
  <c r="H9" i="1024"/>
  <c r="H20" i="1024"/>
  <c r="H31" i="1024"/>
  <c r="H41" i="1024"/>
  <c r="H52" i="1024"/>
  <c r="H63" i="1024"/>
  <c r="H73" i="1024"/>
  <c r="H84" i="1024"/>
  <c r="H95" i="1024"/>
  <c r="H105" i="1024"/>
  <c r="H116" i="1024"/>
  <c r="H127" i="1024"/>
  <c r="H137" i="1024"/>
  <c r="H148" i="1024"/>
  <c r="H159" i="1024"/>
  <c r="H169" i="1024"/>
  <c r="H180" i="1024"/>
  <c r="H191" i="1024"/>
  <c r="H201" i="1024"/>
  <c r="C211" i="1024"/>
  <c r="H14" i="1024"/>
  <c r="H22" i="1024"/>
  <c r="H30" i="1024"/>
  <c r="H38" i="1024"/>
  <c r="H46" i="1024"/>
  <c r="H54" i="1024"/>
  <c r="H62" i="1024"/>
  <c r="H70" i="1024"/>
  <c r="H78" i="1024"/>
  <c r="H86" i="1024"/>
  <c r="H94" i="1024"/>
  <c r="H102" i="1024"/>
  <c r="H110" i="1024"/>
  <c r="H118" i="1024"/>
  <c r="H126" i="1024"/>
  <c r="H134" i="1024"/>
  <c r="H142" i="1024"/>
  <c r="H150" i="1024"/>
  <c r="H158" i="1024"/>
  <c r="H166" i="1024"/>
  <c r="H174" i="1024"/>
  <c r="H182" i="1024"/>
  <c r="H190" i="1024"/>
  <c r="H198" i="1024"/>
  <c r="H206" i="1024"/>
  <c r="H209" i="1024"/>
  <c r="H10" i="1024"/>
  <c r="H18" i="1024"/>
  <c r="H26" i="1024"/>
  <c r="H34" i="1024"/>
  <c r="H42" i="1024"/>
  <c r="H50" i="1024"/>
  <c r="H58" i="1024"/>
  <c r="H66" i="1024"/>
  <c r="H74" i="1024"/>
  <c r="H82" i="1024"/>
  <c r="H90" i="1024"/>
  <c r="H98" i="1024"/>
  <c r="H106" i="1024"/>
  <c r="H114" i="1024"/>
  <c r="H122" i="1024"/>
  <c r="H130" i="1024"/>
  <c r="H138" i="1024"/>
  <c r="H146" i="1024"/>
  <c r="H154" i="1024"/>
  <c r="H162" i="1024"/>
  <c r="H170" i="1024"/>
  <c r="H178" i="1024"/>
  <c r="H186" i="1024"/>
  <c r="H194" i="1024"/>
  <c r="H202" i="1024"/>
  <c r="E211" i="32"/>
  <c r="G211" i="1024"/>
  <c r="F211" i="1024"/>
  <c r="E211" i="1024"/>
  <c r="D211" i="1024"/>
  <c r="G211" i="9216"/>
  <c r="F211" i="9216"/>
  <c r="E211" i="9216"/>
  <c r="D211" i="9216"/>
  <c r="G211" i="20994"/>
  <c r="F211" i="20994"/>
  <c r="E211" i="20994"/>
  <c r="D211" i="20994"/>
  <c r="G211" i="768"/>
  <c r="F211" i="768"/>
  <c r="E211" i="768"/>
  <c r="D211" i="768"/>
  <c r="F212" i="10285"/>
  <c r="G212" i="10285"/>
  <c r="E212" i="10285"/>
  <c r="G211" i="25580"/>
  <c r="F211" i="25580"/>
  <c r="E211" i="25580"/>
  <c r="D211" i="25580"/>
  <c r="E211" i="4888"/>
  <c r="D211" i="4888"/>
  <c r="G211" i="3584"/>
  <c r="E211" i="3584"/>
  <c r="G211" i="25588"/>
  <c r="F211" i="25588"/>
  <c r="E211" i="25588"/>
  <c r="D211" i="25588"/>
  <c r="G211" i="25590"/>
  <c r="E211" i="25590"/>
  <c r="D211" i="25590"/>
  <c r="E110" i="25587"/>
  <c r="D110" i="25587"/>
  <c r="G110" i="25586"/>
  <c r="F110" i="25586"/>
  <c r="D110" i="25586"/>
  <c r="E110" i="25586"/>
  <c r="F211" i="1"/>
  <c r="E211" i="1"/>
  <c r="C211" i="1"/>
  <c r="G211" i="1"/>
  <c r="B210" i="2316"/>
  <c r="B210" i="32"/>
  <c r="B210" i="1024"/>
  <c r="C210" i="1024" s="1"/>
  <c r="B210" i="9216"/>
  <c r="B210" i="20994"/>
  <c r="B210" i="768"/>
  <c r="C210" i="768" s="1"/>
  <c r="B211" i="10285"/>
  <c r="B210" i="25580"/>
  <c r="C210" i="25580"/>
  <c r="B210" i="4888"/>
  <c r="C210" i="4888" s="1"/>
  <c r="B210" i="3584"/>
  <c r="C210" i="3584"/>
  <c r="B109" i="25587"/>
  <c r="B109" i="25586"/>
  <c r="A109" i="25586"/>
  <c r="A109" i="25587" s="1"/>
  <c r="A210" i="25590" s="1"/>
  <c r="A210" i="25588" s="1"/>
  <c r="A210" i="3584" s="1"/>
  <c r="A210" i="4888" s="1"/>
  <c r="A210" i="25580" s="1"/>
  <c r="A211" i="10285" s="1"/>
  <c r="A210" i="768" s="1"/>
  <c r="A210" i="20994" s="1"/>
  <c r="A210" i="9216" s="1"/>
  <c r="A210" i="1024" s="1"/>
  <c r="A210" i="32" s="1"/>
  <c r="A210" i="2316" s="1"/>
  <c r="B210" i="1"/>
  <c r="C210" i="2316" l="1"/>
  <c r="C210" i="32"/>
  <c r="C210" i="9216"/>
  <c r="C210" i="20994"/>
  <c r="C211" i="10285"/>
  <c r="D210" i="2316"/>
  <c r="D210" i="3584"/>
  <c r="B209" i="2316"/>
  <c r="C209" i="2316" s="1"/>
  <c r="B208" i="2316"/>
  <c r="B209" i="32"/>
  <c r="C209" i="32" s="1"/>
  <c r="B209" i="1024"/>
  <c r="B208" i="9216"/>
  <c r="B209" i="9216"/>
  <c r="D210" i="9216" s="1"/>
  <c r="B209" i="20994"/>
  <c r="B209" i="768"/>
  <c r="B210" i="10285"/>
  <c r="B209" i="25580"/>
  <c r="B209" i="4888"/>
  <c r="C209" i="4888" s="1"/>
  <c r="B209" i="3584"/>
  <c r="C209" i="3584" s="1"/>
  <c r="B108" i="25587"/>
  <c r="B108" i="25586"/>
  <c r="D109" i="25586" s="1"/>
  <c r="A108" i="25586"/>
  <c r="A108" i="25587" s="1"/>
  <c r="A209" i="25590" s="1"/>
  <c r="A209" i="25588" s="1"/>
  <c r="A209" i="3584" s="1"/>
  <c r="A209" i="4888" s="1"/>
  <c r="A209" i="25580" s="1"/>
  <c r="A210" i="10285" s="1"/>
  <c r="A209" i="768" s="1"/>
  <c r="A209" i="20994" s="1"/>
  <c r="A209" i="9216" s="1"/>
  <c r="A209" i="1024" s="1"/>
  <c r="A209" i="32" s="1"/>
  <c r="A209" i="2316" s="1"/>
  <c r="B209" i="1"/>
  <c r="D210" i="32" l="1"/>
  <c r="D210" i="1024"/>
  <c r="C209" i="9216"/>
  <c r="D210" i="20994"/>
  <c r="D210" i="768"/>
  <c r="D210" i="25580"/>
  <c r="D210" i="4888"/>
  <c r="D210" i="1"/>
  <c r="C209" i="1024"/>
  <c r="C209" i="20994"/>
  <c r="C209" i="768"/>
  <c r="C210" i="10285"/>
  <c r="D211" i="10285" s="1"/>
  <c r="C209" i="25580"/>
  <c r="D109" i="25587"/>
  <c r="D209" i="2316"/>
  <c r="D209" i="9216"/>
  <c r="B208" i="1024"/>
  <c r="B208" i="32"/>
  <c r="D209" i="1024" l="1"/>
  <c r="D209" i="32"/>
  <c r="C208" i="2316"/>
  <c r="C208" i="1024"/>
  <c r="C208" i="32"/>
  <c r="B208" i="20994" l="1"/>
  <c r="B208" i="768"/>
  <c r="B209" i="10285"/>
  <c r="B208" i="25580"/>
  <c r="B208" i="4888"/>
  <c r="B208" i="3584"/>
  <c r="C208" i="3584"/>
  <c r="B107" i="25587"/>
  <c r="B107" i="25586"/>
  <c r="A107" i="25586"/>
  <c r="A107" i="25587" s="1"/>
  <c r="A208" i="25590" s="1"/>
  <c r="A208" i="25588" s="1"/>
  <c r="A208" i="3584" s="1"/>
  <c r="A208" i="4888" s="1"/>
  <c r="A208" i="25580" s="1"/>
  <c r="A209" i="10285" s="1"/>
  <c r="A208" i="768" s="1"/>
  <c r="A208" i="20994" s="1"/>
  <c r="A208" i="9216" s="1"/>
  <c r="A208" i="1024" s="1"/>
  <c r="A208" i="32" s="1"/>
  <c r="A208" i="2316" s="1"/>
  <c r="B208" i="1"/>
  <c r="D209" i="20994" l="1"/>
  <c r="D209" i="768"/>
  <c r="D209" i="25580"/>
  <c r="D209" i="4888"/>
  <c r="D209" i="3584"/>
  <c r="D108" i="25587"/>
  <c r="D108" i="25586"/>
  <c r="D209" i="1"/>
  <c r="C208" i="9216"/>
  <c r="C208" i="20994"/>
  <c r="C208" i="768"/>
  <c r="C209" i="10285"/>
  <c r="D210" i="10285" s="1"/>
  <c r="C208" i="25580"/>
  <c r="C208" i="4888"/>
  <c r="B207" i="2316"/>
  <c r="B207" i="1024"/>
  <c r="B207" i="9216"/>
  <c r="B207" i="20994"/>
  <c r="B207" i="768"/>
  <c r="B208" i="10285"/>
  <c r="B207" i="25580"/>
  <c r="B207" i="4888"/>
  <c r="C207" i="9216" l="1"/>
  <c r="D208" i="9216"/>
  <c r="C207" i="20994"/>
  <c r="D208" i="25580"/>
  <c r="C207" i="4888"/>
  <c r="D208" i="2316"/>
  <c r="D208" i="1024"/>
  <c r="D208" i="20994"/>
  <c r="D208" i="768"/>
  <c r="D208" i="4888"/>
  <c r="C207" i="1024"/>
  <c r="C208" i="10285"/>
  <c r="D209" i="10285" s="1"/>
  <c r="C207" i="25580"/>
  <c r="B207" i="32"/>
  <c r="C207" i="768"/>
  <c r="C207" i="2316"/>
  <c r="D208" i="32" l="1"/>
  <c r="C207" i="32"/>
  <c r="B106" i="25587"/>
  <c r="B106" i="25586"/>
  <c r="A106" i="25586"/>
  <c r="A106" i="25587" s="1"/>
  <c r="A207" i="25590" s="1"/>
  <c r="A207" i="25588" s="1"/>
  <c r="A207" i="3584" s="1"/>
  <c r="A207" i="4888" s="1"/>
  <c r="A207" i="25580" s="1"/>
  <c r="A208" i="10285" s="1"/>
  <c r="A207" i="768" s="1"/>
  <c r="A207" i="20994" s="1"/>
  <c r="A207" i="9216" s="1"/>
  <c r="A207" i="1024" s="1"/>
  <c r="A207" i="32" s="1"/>
  <c r="A207" i="2316" s="1"/>
  <c r="B207" i="1"/>
  <c r="D107" i="25587" l="1"/>
  <c r="D208" i="1"/>
  <c r="D107" i="25586"/>
  <c r="B207" i="3584"/>
  <c r="B206" i="2316"/>
  <c r="B206" i="32"/>
  <c r="B206" i="1024"/>
  <c r="B206" i="9216"/>
  <c r="B206" i="20994"/>
  <c r="B206" i="768"/>
  <c r="B207" i="10285"/>
  <c r="B206" i="25580"/>
  <c r="B206" i="4888"/>
  <c r="B206" i="3584"/>
  <c r="B105" i="25587"/>
  <c r="B105" i="25586"/>
  <c r="A105" i="25586"/>
  <c r="A105" i="25587" s="1"/>
  <c r="A206" i="25590" s="1"/>
  <c r="A206" i="25588" s="1"/>
  <c r="A206" i="3584" s="1"/>
  <c r="A206" i="4888" s="1"/>
  <c r="A206" i="25580" s="1"/>
  <c r="A207" i="10285" s="1"/>
  <c r="A206" i="768" s="1"/>
  <c r="A206" i="20994" s="1"/>
  <c r="A206" i="9216" s="1"/>
  <c r="A206" i="1024" s="1"/>
  <c r="A206" i="32" s="1"/>
  <c r="A206" i="2316" s="1"/>
  <c r="B206" i="1"/>
  <c r="C206" i="2316" l="1"/>
  <c r="D208" i="3584"/>
  <c r="D207" i="1024"/>
  <c r="D207" i="2316"/>
  <c r="D207" i="9216"/>
  <c r="D207" i="20994"/>
  <c r="D207" i="768"/>
  <c r="D207" i="25580"/>
  <c r="C206" i="4888"/>
  <c r="D207" i="4888"/>
  <c r="D207" i="3584"/>
  <c r="C207" i="3584"/>
  <c r="D207" i="32"/>
  <c r="C206" i="32"/>
  <c r="C206" i="1024"/>
  <c r="C206" i="9216"/>
  <c r="C206" i="20994"/>
  <c r="C206" i="768"/>
  <c r="C207" i="10285"/>
  <c r="D208" i="10285" s="1"/>
  <c r="C206" i="25580"/>
  <c r="D106" i="25587"/>
  <c r="D207" i="1"/>
  <c r="D106" i="25586"/>
  <c r="C206" i="3584"/>
  <c r="B205" i="2316"/>
  <c r="B205" i="32"/>
  <c r="B205" i="1024"/>
  <c r="B205" i="9216"/>
  <c r="B205" i="20994"/>
  <c r="B205" i="768"/>
  <c r="B206" i="10285"/>
  <c r="B205" i="25580"/>
  <c r="B205" i="4888"/>
  <c r="B205" i="3584"/>
  <c r="B104" i="25587"/>
  <c r="B104" i="25586"/>
  <c r="B103" i="25586"/>
  <c r="B102" i="25586"/>
  <c r="A104" i="25586"/>
  <c r="A104" i="25587" s="1"/>
  <c r="A205" i="25590" s="1"/>
  <c r="A205" i="25588" s="1"/>
  <c r="A205" i="3584" s="1"/>
  <c r="A205" i="4888" s="1"/>
  <c r="A205" i="25580" s="1"/>
  <c r="A206" i="10285" s="1"/>
  <c r="A205" i="768" s="1"/>
  <c r="A205" i="20994" s="1"/>
  <c r="A205" i="9216" s="1"/>
  <c r="A205" i="1024" s="1"/>
  <c r="A205" i="32" s="1"/>
  <c r="A205" i="2316" s="1"/>
  <c r="B205" i="1"/>
  <c r="D206" i="768" l="1"/>
  <c r="D206" i="1024"/>
  <c r="C205" i="9216"/>
  <c r="D206" i="20994"/>
  <c r="C205" i="768"/>
  <c r="C206" i="10285"/>
  <c r="D207" i="10285" s="1"/>
  <c r="D206" i="25580"/>
  <c r="C205" i="4888"/>
  <c r="D206" i="4888"/>
  <c r="D206" i="2316"/>
  <c r="C205" i="2316"/>
  <c r="D206" i="32"/>
  <c r="D206" i="9216"/>
  <c r="D105" i="25587"/>
  <c r="D206" i="1"/>
  <c r="D105" i="25586"/>
  <c r="D206" i="3584"/>
  <c r="C205" i="32"/>
  <c r="C205" i="1024"/>
  <c r="C205" i="20994"/>
  <c r="C205" i="25580"/>
  <c r="C205" i="3584"/>
  <c r="D104" i="25586"/>
  <c r="B204" i="2316"/>
  <c r="B204" i="32"/>
  <c r="B204" i="1024"/>
  <c r="B204" i="9216"/>
  <c r="B204" i="20994"/>
  <c r="B204" i="768"/>
  <c r="B205" i="10285"/>
  <c r="B204" i="25580"/>
  <c r="B204" i="4888"/>
  <c r="B204" i="3584"/>
  <c r="B103" i="25587"/>
  <c r="A103" i="25586"/>
  <c r="A103" i="25587" s="1"/>
  <c r="A204" i="25590" s="1"/>
  <c r="A204" i="25588" s="1"/>
  <c r="A204" i="3584" s="1"/>
  <c r="A204" i="4888" s="1"/>
  <c r="A204" i="25580" s="1"/>
  <c r="A205" i="10285" s="1"/>
  <c r="A204" i="768" s="1"/>
  <c r="A204" i="20994" s="1"/>
  <c r="A204" i="9216" s="1"/>
  <c r="A204" i="1024" s="1"/>
  <c r="A204" i="32" s="1"/>
  <c r="A204" i="2316" s="1"/>
  <c r="D205" i="2316" l="1"/>
  <c r="D205" i="32"/>
  <c r="D205" i="1024"/>
  <c r="C204" i="9216"/>
  <c r="D205" i="768"/>
  <c r="C204" i="25580"/>
  <c r="C204" i="4888"/>
  <c r="D205" i="3584"/>
  <c r="C204" i="1024"/>
  <c r="D205" i="9216"/>
  <c r="D205" i="20994"/>
  <c r="D205" i="25580"/>
  <c r="D205" i="4888"/>
  <c r="D104" i="25587"/>
  <c r="C204" i="2316"/>
  <c r="C204" i="20994"/>
  <c r="C204" i="768"/>
  <c r="C205" i="10285"/>
  <c r="D206" i="10285" s="1"/>
  <c r="C204" i="3584"/>
  <c r="C204" i="32"/>
  <c r="B204" i="1" l="1"/>
  <c r="D205" i="1" l="1"/>
  <c r="B203" i="2316"/>
  <c r="B203" i="32"/>
  <c r="B203" i="1024"/>
  <c r="B203" i="9216"/>
  <c r="B203" i="20994"/>
  <c r="B203" i="768"/>
  <c r="B204" i="10285"/>
  <c r="B203" i="25580"/>
  <c r="B203" i="4888"/>
  <c r="B203" i="3584"/>
  <c r="B102" i="25587"/>
  <c r="A102" i="25586"/>
  <c r="A102" i="25587" s="1"/>
  <c r="A203" i="25590" s="1"/>
  <c r="A203" i="25588" s="1"/>
  <c r="A203" i="3584" s="1"/>
  <c r="A203" i="4888" s="1"/>
  <c r="A203" i="25580" s="1"/>
  <c r="A204" i="10285" s="1"/>
  <c r="A203" i="768" s="1"/>
  <c r="A203" i="20994" s="1"/>
  <c r="A203" i="9216" s="1"/>
  <c r="A203" i="1024" s="1"/>
  <c r="A203" i="32" s="1"/>
  <c r="A203" i="2316" s="1"/>
  <c r="B203" i="1"/>
  <c r="C203" i="1024" l="1"/>
  <c r="D204" i="2316"/>
  <c r="C203" i="2316"/>
  <c r="D204" i="32"/>
  <c r="D204" i="1024"/>
  <c r="C203" i="9216"/>
  <c r="D204" i="9216"/>
  <c r="D204" i="20994"/>
  <c r="D204" i="768"/>
  <c r="D204" i="25580"/>
  <c r="C203" i="4888"/>
  <c r="D204" i="4888"/>
  <c r="D204" i="3584"/>
  <c r="D103" i="25587"/>
  <c r="D103" i="25586"/>
  <c r="C203" i="32"/>
  <c r="C203" i="20994"/>
  <c r="C203" i="768"/>
  <c r="C204" i="10285"/>
  <c r="D205" i="10285" s="1"/>
  <c r="C203" i="25580"/>
  <c r="C203" i="3584"/>
  <c r="D204" i="1"/>
  <c r="B202" i="2316"/>
  <c r="B202" i="32"/>
  <c r="B202" i="1024"/>
  <c r="B202" i="9216"/>
  <c r="B202" i="20994"/>
  <c r="B202" i="768"/>
  <c r="B203" i="10285"/>
  <c r="B202" i="25580"/>
  <c r="B202" i="4888"/>
  <c r="B202" i="3584"/>
  <c r="B101" i="25587"/>
  <c r="B101" i="25586"/>
  <c r="A101" i="25586"/>
  <c r="A101" i="25587" s="1"/>
  <c r="A202" i="25590" s="1"/>
  <c r="A202" i="25588" s="1"/>
  <c r="A202" i="3584" s="1"/>
  <c r="A202" i="4888" s="1"/>
  <c r="A202" i="25580" s="1"/>
  <c r="A203" i="10285" s="1"/>
  <c r="A202" i="768" s="1"/>
  <c r="A202" i="20994" s="1"/>
  <c r="A202" i="9216" s="1"/>
  <c r="A202" i="1024" s="1"/>
  <c r="A202" i="32" s="1"/>
  <c r="A202" i="2316" s="1"/>
  <c r="B202" i="1"/>
  <c r="E210" i="2316" l="1"/>
  <c r="E210" i="32"/>
  <c r="E210" i="1024"/>
  <c r="E210" i="9216"/>
  <c r="E210" i="20994"/>
  <c r="E210" i="768"/>
  <c r="E210" i="25580"/>
  <c r="E210" i="4888"/>
  <c r="E210" i="3584"/>
  <c r="E109" i="25586"/>
  <c r="E210" i="1"/>
  <c r="E209" i="2316"/>
  <c r="E209" i="32"/>
  <c r="E209" i="1024"/>
  <c r="E209" i="9216"/>
  <c r="E209" i="20994"/>
  <c r="E209" i="768"/>
  <c r="E209" i="25580"/>
  <c r="E209" i="4888"/>
  <c r="E209" i="3584"/>
  <c r="E109" i="25587"/>
  <c r="E108" i="25587"/>
  <c r="E108" i="25586"/>
  <c r="E209" i="1"/>
  <c r="E208" i="2316"/>
  <c r="E208" i="32"/>
  <c r="E208" i="1024"/>
  <c r="E208" i="9216"/>
  <c r="E208" i="20994"/>
  <c r="E208" i="768"/>
  <c r="E208" i="25580"/>
  <c r="E208" i="4888"/>
  <c r="E208" i="3584"/>
  <c r="E208" i="1"/>
  <c r="E107" i="25586"/>
  <c r="E107" i="25587"/>
  <c r="E207" i="4888"/>
  <c r="E207" i="2316"/>
  <c r="E207" i="768"/>
  <c r="E207" i="3584"/>
  <c r="E207" i="20994"/>
  <c r="E207" i="9216"/>
  <c r="E207" i="25580"/>
  <c r="E207" i="1024"/>
  <c r="E206" i="2316"/>
  <c r="E207" i="32"/>
  <c r="E206" i="32"/>
  <c r="E206" i="1024"/>
  <c r="E206" i="9216"/>
  <c r="E206" i="20994"/>
  <c r="E206" i="768"/>
  <c r="E206" i="25580"/>
  <c r="E206" i="4888"/>
  <c r="E207" i="1"/>
  <c r="E106" i="25586"/>
  <c r="E106" i="25587"/>
  <c r="E206" i="3584"/>
  <c r="E105" i="25587"/>
  <c r="E105" i="25586"/>
  <c r="E206" i="1"/>
  <c r="E205" i="2316"/>
  <c r="E205" i="32"/>
  <c r="E205" i="1024"/>
  <c r="E205" i="9216"/>
  <c r="E203" i="20994"/>
  <c r="E205" i="20994"/>
  <c r="E205" i="768"/>
  <c r="E205" i="25580"/>
  <c r="E205" i="4888"/>
  <c r="E205" i="3584"/>
  <c r="E104" i="25587"/>
  <c r="E104" i="25586"/>
  <c r="E205" i="1"/>
  <c r="D203" i="2316"/>
  <c r="E204" i="2316"/>
  <c r="D203" i="32"/>
  <c r="E204" i="32"/>
  <c r="E204" i="1024"/>
  <c r="D203" i="9216"/>
  <c r="E204" i="9216"/>
  <c r="C202" i="20994"/>
  <c r="E204" i="20994"/>
  <c r="D203" i="20994"/>
  <c r="E203" i="768"/>
  <c r="E204" i="768"/>
  <c r="E204" i="25580"/>
  <c r="E203" i="4888"/>
  <c r="E204" i="4888"/>
  <c r="D203" i="3584"/>
  <c r="E204" i="3584"/>
  <c r="E102" i="25587"/>
  <c r="E103" i="25587"/>
  <c r="E103" i="25586"/>
  <c r="E204" i="1"/>
  <c r="E203" i="2316"/>
  <c r="E203" i="32"/>
  <c r="E203" i="1024"/>
  <c r="D203" i="1024"/>
  <c r="E203" i="9216"/>
  <c r="D203" i="768"/>
  <c r="D203" i="25580"/>
  <c r="E203" i="25580"/>
  <c r="D203" i="4888"/>
  <c r="E203" i="3584"/>
  <c r="E102" i="25586"/>
  <c r="D102" i="25586"/>
  <c r="D102" i="25587"/>
  <c r="E203" i="1"/>
  <c r="D203" i="1"/>
  <c r="C202" i="1024"/>
  <c r="C203" i="10285"/>
  <c r="C202" i="3584"/>
  <c r="C202" i="2316"/>
  <c r="C202" i="32"/>
  <c r="C202" i="9216"/>
  <c r="C202" i="768"/>
  <c r="C202" i="25580"/>
  <c r="C202" i="4888"/>
  <c r="B201" i="2316"/>
  <c r="B201" i="32"/>
  <c r="B201" i="1024"/>
  <c r="B201" i="9216"/>
  <c r="B201" i="20994"/>
  <c r="B201" i="768"/>
  <c r="B202" i="10285"/>
  <c r="B201" i="25580"/>
  <c r="B201" i="3584"/>
  <c r="B100" i="25587"/>
  <c r="B100" i="25586"/>
  <c r="A100" i="25586"/>
  <c r="A100" i="25587" s="1"/>
  <c r="A201" i="25590" s="1"/>
  <c r="A201" i="25588" s="1"/>
  <c r="A201" i="3584" s="1"/>
  <c r="A201" i="4888" s="1"/>
  <c r="A201" i="25580" s="1"/>
  <c r="A202" i="10285" s="1"/>
  <c r="A201" i="768" s="1"/>
  <c r="A201" i="20994" s="1"/>
  <c r="A201" i="9216" s="1"/>
  <c r="A201" i="1024" s="1"/>
  <c r="A201" i="32" s="1"/>
  <c r="A201" i="2316" s="1"/>
  <c r="B201" i="1"/>
  <c r="E210" i="10285" l="1"/>
  <c r="E211" i="10285"/>
  <c r="E208" i="10285"/>
  <c r="E209" i="10285"/>
  <c r="E206" i="10285"/>
  <c r="E207" i="10285"/>
  <c r="D204" i="10285"/>
  <c r="E205" i="10285"/>
  <c r="D202" i="2316"/>
  <c r="D202" i="1024"/>
  <c r="D202" i="9216"/>
  <c r="D202" i="20994"/>
  <c r="D202" i="768"/>
  <c r="E204" i="10285"/>
  <c r="D202" i="3584"/>
  <c r="D101" i="25587"/>
  <c r="C201" i="2316"/>
  <c r="D202" i="32"/>
  <c r="D202" i="25580"/>
  <c r="D101" i="25586"/>
  <c r="D202" i="1"/>
  <c r="C201" i="9216"/>
  <c r="C201" i="32"/>
  <c r="C201" i="3584"/>
  <c r="C201" i="1024"/>
  <c r="C201" i="25580"/>
  <c r="C201" i="20994"/>
  <c r="C201" i="768"/>
  <c r="B200" i="2316"/>
  <c r="B200" i="32"/>
  <c r="B200" i="1024"/>
  <c r="B200" i="9216"/>
  <c r="B200" i="20994"/>
  <c r="B200" i="768"/>
  <c r="B201" i="10285"/>
  <c r="B200" i="25580"/>
  <c r="B200" i="3584"/>
  <c r="B99" i="25587"/>
  <c r="B99" i="25586"/>
  <c r="A99" i="25586"/>
  <c r="A99" i="25587" s="1"/>
  <c r="A200" i="25590" s="1"/>
  <c r="A200" i="25588" s="1"/>
  <c r="A200" i="3584" s="1"/>
  <c r="A200" i="4888" s="1"/>
  <c r="A200" i="25580" s="1"/>
  <c r="A201" i="10285" s="1"/>
  <c r="A200" i="768" s="1"/>
  <c r="A200" i="20994" s="1"/>
  <c r="A200" i="9216" s="1"/>
  <c r="A200" i="1024" s="1"/>
  <c r="A200" i="32" s="1"/>
  <c r="A200" i="2316" s="1"/>
  <c r="B200" i="1"/>
  <c r="D201" i="9216" l="1"/>
  <c r="D201" i="20994"/>
  <c r="D100" i="25586"/>
  <c r="D100" i="25587"/>
  <c r="D201" i="1024"/>
  <c r="D201" i="768"/>
  <c r="D201" i="3584"/>
  <c r="D201" i="32"/>
  <c r="D201" i="1"/>
  <c r="D201" i="2316"/>
  <c r="D201" i="25580"/>
  <c r="C200" i="25580"/>
  <c r="C200" i="20994"/>
  <c r="C200" i="2316"/>
  <c r="C200" i="32"/>
  <c r="C200" i="1024"/>
  <c r="C200" i="9216"/>
  <c r="C200" i="768"/>
  <c r="C200" i="3584"/>
  <c r="B199" i="2316"/>
  <c r="B199" i="32"/>
  <c r="B199" i="1024"/>
  <c r="B199" i="9216"/>
  <c r="B199" i="20994"/>
  <c r="B199" i="768"/>
  <c r="B200" i="10285"/>
  <c r="B199" i="25580"/>
  <c r="B199" i="3584"/>
  <c r="B98" i="25587"/>
  <c r="B98" i="25586"/>
  <c r="A98" i="25586"/>
  <c r="A98" i="25587" s="1"/>
  <c r="A199" i="25590" s="1"/>
  <c r="A199" i="25588" s="1"/>
  <c r="A199" i="3584" s="1"/>
  <c r="A199" i="4888" s="1"/>
  <c r="A199" i="25580" s="1"/>
  <c r="A200" i="10285" s="1"/>
  <c r="A199" i="768" s="1"/>
  <c r="A199" i="20994" s="1"/>
  <c r="A199" i="9216" s="1"/>
  <c r="A199" i="1024" s="1"/>
  <c r="A199" i="32" s="1"/>
  <c r="A199" i="2316" s="1"/>
  <c r="B199" i="1"/>
  <c r="D200" i="2316" l="1"/>
  <c r="D200" i="32"/>
  <c r="D200" i="9216"/>
  <c r="D99" i="25586"/>
  <c r="D200" i="3584"/>
  <c r="D200" i="768"/>
  <c r="D99" i="25587"/>
  <c r="D200" i="1"/>
  <c r="D200" i="20994"/>
  <c r="D200" i="1024"/>
  <c r="D200" i="25580"/>
  <c r="C199" i="3584"/>
  <c r="C199" i="25580"/>
  <c r="C199" i="20994"/>
  <c r="C199" i="32"/>
  <c r="C199" i="2316"/>
  <c r="C199" i="1024"/>
  <c r="C199" i="9216"/>
  <c r="C199" i="768"/>
  <c r="B198" i="2316"/>
  <c r="B198" i="32"/>
  <c r="B198" i="1024"/>
  <c r="B198" i="9216"/>
  <c r="B198" i="20994"/>
  <c r="B198" i="768"/>
  <c r="B199" i="10285"/>
  <c r="B198" i="25580"/>
  <c r="B198" i="3584"/>
  <c r="B97" i="25587"/>
  <c r="B97" i="25586"/>
  <c r="A97" i="25586"/>
  <c r="A97" i="25587" s="1"/>
  <c r="A198" i="25590" s="1"/>
  <c r="A198" i="25588" s="1"/>
  <c r="A198" i="3584" s="1"/>
  <c r="A198" i="4888" s="1"/>
  <c r="A198" i="25580" s="1"/>
  <c r="A199" i="10285" s="1"/>
  <c r="A198" i="768" s="1"/>
  <c r="A198" i="20994" s="1"/>
  <c r="A198" i="9216" s="1"/>
  <c r="A198" i="1024" s="1"/>
  <c r="A198" i="32" s="1"/>
  <c r="A198" i="2316" s="1"/>
  <c r="B198" i="1"/>
  <c r="F210" i="2316" l="1"/>
  <c r="F210" i="32"/>
  <c r="F210" i="1024"/>
  <c r="F210" i="9216"/>
  <c r="F210" i="20994"/>
  <c r="F210" i="768"/>
  <c r="F210" i="25580"/>
  <c r="F210" i="3584"/>
  <c r="F109" i="25586"/>
  <c r="F210" i="1"/>
  <c r="F109" i="25587"/>
  <c r="D199" i="2316"/>
  <c r="D199" i="3584"/>
  <c r="D199" i="32"/>
  <c r="D199" i="1024"/>
  <c r="D199" i="1"/>
  <c r="D199" i="768"/>
  <c r="D199" i="25580"/>
  <c r="D98" i="25586"/>
  <c r="D98" i="25587"/>
  <c r="D199" i="20994"/>
  <c r="D199" i="9216"/>
  <c r="C198" i="3584"/>
  <c r="C198" i="32"/>
  <c r="C198" i="2316"/>
  <c r="C198" i="1024"/>
  <c r="C198" i="9216"/>
  <c r="C198" i="20994"/>
  <c r="C198" i="768"/>
  <c r="C198" i="25580"/>
  <c r="B197" i="2316"/>
  <c r="B197" i="32"/>
  <c r="B197" i="1024"/>
  <c r="B197" i="9216"/>
  <c r="B197" i="20994"/>
  <c r="B197" i="768"/>
  <c r="B198" i="10285"/>
  <c r="B197" i="25580"/>
  <c r="B197" i="3584"/>
  <c r="B96" i="25587"/>
  <c r="B96" i="25586"/>
  <c r="A96" i="25586"/>
  <c r="A96" i="25587" s="1"/>
  <c r="A197" i="25590" s="1"/>
  <c r="A197" i="25588" s="1"/>
  <c r="A197" i="3584" s="1"/>
  <c r="A197" i="4888" s="1"/>
  <c r="A197" i="25580" s="1"/>
  <c r="A198" i="10285" s="1"/>
  <c r="A197" i="768" s="1"/>
  <c r="A197" i="20994" s="1"/>
  <c r="A197" i="9216" s="1"/>
  <c r="A197" i="1024" s="1"/>
  <c r="A197" i="32" s="1"/>
  <c r="A197" i="2316" s="1"/>
  <c r="B197" i="1"/>
  <c r="F209" i="2316" l="1"/>
  <c r="F209" i="32"/>
  <c r="F209" i="1024"/>
  <c r="F209" i="9216"/>
  <c r="F209" i="20994"/>
  <c r="F209" i="768"/>
  <c r="F209" i="25580"/>
  <c r="F209" i="3584"/>
  <c r="F108" i="25587"/>
  <c r="F108" i="25586"/>
  <c r="F209" i="1"/>
  <c r="D97" i="25587"/>
  <c r="D198" i="3584"/>
  <c r="D198" i="32"/>
  <c r="D198" i="768"/>
  <c r="D198" i="25580"/>
  <c r="D198" i="9216"/>
  <c r="D198" i="20994"/>
  <c r="D198" i="2316"/>
  <c r="D198" i="1024"/>
  <c r="D198" i="1"/>
  <c r="D97" i="25586"/>
  <c r="C197" i="32"/>
  <c r="C197" i="2316"/>
  <c r="C197" i="1024"/>
  <c r="C197" i="9216"/>
  <c r="C197" i="20994"/>
  <c r="C197" i="768"/>
  <c r="C197" i="25580"/>
  <c r="C197" i="3584"/>
  <c r="B196" i="2316"/>
  <c r="B196" i="32"/>
  <c r="B196" i="1024"/>
  <c r="B196" i="9216"/>
  <c r="B196" i="20994"/>
  <c r="B196" i="768"/>
  <c r="B197" i="10285"/>
  <c r="B196" i="25580"/>
  <c r="B196" i="3584"/>
  <c r="B95" i="25587"/>
  <c r="B95" i="25586"/>
  <c r="A95" i="25586"/>
  <c r="A95" i="25587" s="1"/>
  <c r="A196" i="25590" s="1"/>
  <c r="A196" i="25588" s="1"/>
  <c r="A196" i="3584" s="1"/>
  <c r="A196" i="4888" s="1"/>
  <c r="A196" i="25580" s="1"/>
  <c r="A197" i="10285" s="1"/>
  <c r="A196" i="768" s="1"/>
  <c r="A196" i="20994" s="1"/>
  <c r="A196" i="9216" s="1"/>
  <c r="A196" i="1024" s="1"/>
  <c r="A196" i="32" s="1"/>
  <c r="A196" i="2316" s="1"/>
  <c r="B196" i="1"/>
  <c r="F208" i="2316" l="1"/>
  <c r="F208" i="32"/>
  <c r="F208" i="1024"/>
  <c r="F208" i="9216"/>
  <c r="F208" i="20994"/>
  <c r="F208" i="768"/>
  <c r="F208" i="25580"/>
  <c r="F208" i="3584"/>
  <c r="F208" i="1"/>
  <c r="F107" i="25587"/>
  <c r="F107" i="25586"/>
  <c r="D197" i="2316"/>
  <c r="C196" i="32"/>
  <c r="D96" i="25586"/>
  <c r="D96" i="25587"/>
  <c r="D197" i="1024"/>
  <c r="D197" i="32"/>
  <c r="D197" i="3584"/>
  <c r="D197" i="1"/>
  <c r="D197" i="768"/>
  <c r="D197" i="25580"/>
  <c r="D197" i="9216"/>
  <c r="D197" i="20994"/>
  <c r="C196" i="1024"/>
  <c r="C196" i="9216"/>
  <c r="C196" i="25580"/>
  <c r="C196" i="768"/>
  <c r="C196" i="20994"/>
  <c r="C196" i="2316"/>
  <c r="C196" i="3584"/>
  <c r="B195" i="2316"/>
  <c r="B195" i="32"/>
  <c r="B195" i="1024"/>
  <c r="B195" i="9216"/>
  <c r="B195" i="20994"/>
  <c r="B195" i="768"/>
  <c r="B196" i="10285"/>
  <c r="B195" i="25580"/>
  <c r="B195" i="3584"/>
  <c r="B94" i="25587"/>
  <c r="B94" i="25586"/>
  <c r="A94" i="25586"/>
  <c r="A94" i="25587" s="1"/>
  <c r="A195" i="25590" s="1"/>
  <c r="A195" i="25588" s="1"/>
  <c r="A195" i="3584" s="1"/>
  <c r="A195" i="4888" s="1"/>
  <c r="A195" i="25580" s="1"/>
  <c r="A196" i="10285" s="1"/>
  <c r="A195" i="768" s="1"/>
  <c r="A195" i="20994" s="1"/>
  <c r="A195" i="9216" s="1"/>
  <c r="A195" i="1024" s="1"/>
  <c r="A195" i="32" s="1"/>
  <c r="A195" i="2316" s="1"/>
  <c r="F207" i="1024" l="1"/>
  <c r="F207" i="2316"/>
  <c r="F207" i="9216"/>
  <c r="F207" i="20994"/>
  <c r="F207" i="768"/>
  <c r="F207" i="25580"/>
  <c r="F207" i="3584"/>
  <c r="F207" i="32"/>
  <c r="F106" i="25587"/>
  <c r="F106" i="25586"/>
  <c r="C195" i="20994"/>
  <c r="D196" i="1024"/>
  <c r="D196" i="3584"/>
  <c r="D196" i="768"/>
  <c r="D196" i="25580"/>
  <c r="D196" i="2316"/>
  <c r="D196" i="32"/>
  <c r="D196" i="9216"/>
  <c r="D95" i="25587"/>
  <c r="D196" i="20994"/>
  <c r="D95" i="25586"/>
  <c r="C195" i="1024"/>
  <c r="C195" i="3584"/>
  <c r="C195" i="25580"/>
  <c r="C195" i="9216"/>
  <c r="C195" i="32"/>
  <c r="C195" i="2316"/>
  <c r="C195" i="768"/>
  <c r="B194" i="2316"/>
  <c r="B194" i="32"/>
  <c r="B194" i="1024"/>
  <c r="B194" i="9216"/>
  <c r="B194" i="20994"/>
  <c r="B194" i="768"/>
  <c r="B195" i="10285"/>
  <c r="B194" i="25580"/>
  <c r="B194" i="3584"/>
  <c r="B93" i="25587"/>
  <c r="B93" i="25586"/>
  <c r="A93" i="25586"/>
  <c r="A93" i="25587" s="1"/>
  <c r="A194" i="25590" s="1"/>
  <c r="A194" i="25588" s="1"/>
  <c r="A194" i="3584" s="1"/>
  <c r="A194" i="4888" s="1"/>
  <c r="A194" i="25580" s="1"/>
  <c r="A195" i="10285" s="1"/>
  <c r="A194" i="768" s="1"/>
  <c r="A194" i="20994" s="1"/>
  <c r="A194" i="9216" s="1"/>
  <c r="A194" i="1024" s="1"/>
  <c r="A194" i="32" s="1"/>
  <c r="A194" i="2316" s="1"/>
  <c r="F206" i="2316" l="1"/>
  <c r="F206" i="32"/>
  <c r="F206" i="1024"/>
  <c r="F206" i="9216"/>
  <c r="F206" i="20994"/>
  <c r="F206" i="768"/>
  <c r="F206" i="25580"/>
  <c r="F206" i="3584"/>
  <c r="F105" i="25587"/>
  <c r="F105" i="25586"/>
  <c r="D195" i="3584"/>
  <c r="D195" i="25580"/>
  <c r="D195" i="1024"/>
  <c r="D195" i="32"/>
  <c r="D94" i="25587"/>
  <c r="D94" i="25586"/>
  <c r="D195" i="9216"/>
  <c r="D195" i="2316"/>
  <c r="D195" i="20994"/>
  <c r="D195" i="768"/>
  <c r="C194" i="3584"/>
  <c r="C194" i="768"/>
  <c r="C194" i="20994"/>
  <c r="C194" i="32"/>
  <c r="C194" i="2316"/>
  <c r="C194" i="1024"/>
  <c r="C194" i="9216"/>
  <c r="C194" i="25580"/>
  <c r="B193" i="2316"/>
  <c r="B193" i="32"/>
  <c r="B193" i="1024"/>
  <c r="B193" i="9216"/>
  <c r="B193" i="20994"/>
  <c r="B193" i="768"/>
  <c r="B194" i="10285"/>
  <c r="B193" i="25580"/>
  <c r="B193" i="3584"/>
  <c r="B92" i="25587"/>
  <c r="B92" i="25586"/>
  <c r="A92" i="25586"/>
  <c r="A92" i="25587" s="1"/>
  <c r="A193" i="25590" s="1"/>
  <c r="A193" i="25588" s="1"/>
  <c r="A193" i="3584" s="1"/>
  <c r="A193" i="4888" s="1"/>
  <c r="A193" i="25580" s="1"/>
  <c r="A194" i="10285" s="1"/>
  <c r="A193" i="768" s="1"/>
  <c r="A193" i="20994" s="1"/>
  <c r="A193" i="9216" s="1"/>
  <c r="A193" i="1024" s="1"/>
  <c r="A193" i="32" s="1"/>
  <c r="A193" i="2316" s="1"/>
  <c r="F205" i="2316" l="1"/>
  <c r="F205" i="32"/>
  <c r="F205" i="1024"/>
  <c r="F205" i="9216"/>
  <c r="F205" i="20994"/>
  <c r="F205" i="768"/>
  <c r="F205" i="25580"/>
  <c r="F205" i="3584"/>
  <c r="F104" i="25587"/>
  <c r="F104" i="25586"/>
  <c r="C193" i="20994"/>
  <c r="D194" i="768"/>
  <c r="D194" i="20994"/>
  <c r="D194" i="2316"/>
  <c r="D93" i="25586"/>
  <c r="D194" i="3584"/>
  <c r="D194" i="32"/>
  <c r="D194" i="9216"/>
  <c r="D194" i="25580"/>
  <c r="D93" i="25587"/>
  <c r="D194" i="1024"/>
  <c r="C193" i="2316"/>
  <c r="C193" i="3584"/>
  <c r="C193" i="768"/>
  <c r="C193" i="1024"/>
  <c r="C193" i="32"/>
  <c r="C193" i="9216"/>
  <c r="C193" i="25580"/>
  <c r="B192" i="2316"/>
  <c r="B192" i="32"/>
  <c r="B192" i="1024"/>
  <c r="B192" i="9216"/>
  <c r="B192" i="20994"/>
  <c r="B192" i="768"/>
  <c r="B193" i="10285"/>
  <c r="B192" i="25580"/>
  <c r="B192" i="3584"/>
  <c r="B90" i="25587"/>
  <c r="B91" i="25587"/>
  <c r="B91" i="25586"/>
  <c r="A91" i="25586"/>
  <c r="A91" i="25587" s="1"/>
  <c r="A192" i="25590" s="1"/>
  <c r="A192" i="25588" s="1"/>
  <c r="A192" i="3584" s="1"/>
  <c r="A192" i="4888" s="1"/>
  <c r="A192" i="25580" s="1"/>
  <c r="A193" i="10285" s="1"/>
  <c r="A192" i="768" s="1"/>
  <c r="A192" i="20994" s="1"/>
  <c r="A192" i="9216" s="1"/>
  <c r="A192" i="1024" s="1"/>
  <c r="A192" i="32" s="1"/>
  <c r="A192" i="2316" s="1"/>
  <c r="F204" i="2316" l="1"/>
  <c r="F204" i="32"/>
  <c r="F204" i="1024"/>
  <c r="F204" i="9216"/>
  <c r="F204" i="20994"/>
  <c r="F204" i="768"/>
  <c r="F204" i="25580"/>
  <c r="F204" i="3584"/>
  <c r="F103" i="25587"/>
  <c r="F103" i="25586"/>
  <c r="F102" i="25587"/>
  <c r="D193" i="2316"/>
  <c r="D92" i="25586"/>
  <c r="C192" i="9216"/>
  <c r="D193" i="9216"/>
  <c r="D92" i="25587"/>
  <c r="D193" i="768"/>
  <c r="D193" i="3584"/>
  <c r="D193" i="25580"/>
  <c r="D193" i="1024"/>
  <c r="D193" i="32"/>
  <c r="D193" i="20994"/>
  <c r="C192" i="20994"/>
  <c r="C192" i="32"/>
  <c r="C192" i="768"/>
  <c r="C192" i="2316"/>
  <c r="C192" i="1024"/>
  <c r="C192" i="25580"/>
  <c r="C192" i="3584"/>
  <c r="D91" i="25587"/>
  <c r="B191" i="2316"/>
  <c r="B191" i="32"/>
  <c r="B191" i="1024"/>
  <c r="B191" i="9216"/>
  <c r="B191" i="20994"/>
  <c r="B191" i="768"/>
  <c r="B192" i="10285"/>
  <c r="B191" i="25580"/>
  <c r="B191" i="3584"/>
  <c r="B90" i="25586"/>
  <c r="A90" i="25586"/>
  <c r="A90" i="25587" s="1"/>
  <c r="A191" i="25590" s="1"/>
  <c r="A191" i="25588" s="1"/>
  <c r="A191" i="3584" s="1"/>
  <c r="A191" i="4888" s="1"/>
  <c r="A191" i="25580" s="1"/>
  <c r="A192" i="10285" s="1"/>
  <c r="A191" i="768" s="1"/>
  <c r="A191" i="20994" s="1"/>
  <c r="A191" i="9216" s="1"/>
  <c r="A191" i="1024" s="1"/>
  <c r="A191" i="32" s="1"/>
  <c r="A191" i="2316" s="1"/>
  <c r="F203" i="2316" l="1"/>
  <c r="F203" i="32"/>
  <c r="F203" i="1024"/>
  <c r="F203" i="9216"/>
  <c r="F203" i="20994"/>
  <c r="F203" i="768"/>
  <c r="F203" i="25580"/>
  <c r="F203" i="3584"/>
  <c r="F102" i="25586"/>
  <c r="D192" i="32"/>
  <c r="D192" i="20994"/>
  <c r="D192" i="25580"/>
  <c r="D91" i="25586"/>
  <c r="D192" i="1024"/>
  <c r="D192" i="9216"/>
  <c r="D192" i="2316"/>
  <c r="D192" i="768"/>
  <c r="D192" i="3584"/>
  <c r="C191" i="3584"/>
  <c r="C191" i="9216"/>
  <c r="C191" i="768"/>
  <c r="C191" i="25580"/>
  <c r="C191" i="20994"/>
  <c r="C191" i="1024"/>
  <c r="C191" i="32"/>
  <c r="C191" i="2316"/>
  <c r="B190" i="2316"/>
  <c r="B190" i="32"/>
  <c r="B190" i="1024"/>
  <c r="B190" i="9216"/>
  <c r="B190" i="20994"/>
  <c r="B190" i="768"/>
  <c r="B191" i="10285"/>
  <c r="B190" i="25580"/>
  <c r="B190" i="3584"/>
  <c r="B89" i="25587"/>
  <c r="B89" i="25586"/>
  <c r="A89" i="25586"/>
  <c r="A89" i="25587" s="1"/>
  <c r="A190" i="25590" s="1"/>
  <c r="A190" i="25588" s="1"/>
  <c r="A190" i="3584" s="1"/>
  <c r="A190" i="4888" s="1"/>
  <c r="A190" i="25580" s="1"/>
  <c r="A191" i="10285" s="1"/>
  <c r="A190" i="768" s="1"/>
  <c r="A190" i="20994" s="1"/>
  <c r="A190" i="9216" s="1"/>
  <c r="A190" i="1024" s="1"/>
  <c r="A190" i="32" s="1"/>
  <c r="A190" i="2316" s="1"/>
  <c r="B190" i="1"/>
  <c r="E202" i="2316" l="1"/>
  <c r="F202" i="2316"/>
  <c r="E202" i="32"/>
  <c r="F202" i="32"/>
  <c r="F202" i="1024"/>
  <c r="E202" i="1024"/>
  <c r="F202" i="9216"/>
  <c r="E202" i="9216"/>
  <c r="E202" i="20994"/>
  <c r="F202" i="20994"/>
  <c r="F202" i="768"/>
  <c r="E202" i="768"/>
  <c r="E202" i="25580"/>
  <c r="F202" i="25580"/>
  <c r="F202" i="3584"/>
  <c r="E202" i="3584"/>
  <c r="E101" i="25587"/>
  <c r="F101" i="25587"/>
  <c r="E101" i="25586"/>
  <c r="F101" i="25586"/>
  <c r="F202" i="1"/>
  <c r="E202" i="1"/>
  <c r="E100" i="25586"/>
  <c r="E201" i="1024"/>
  <c r="E100" i="25587"/>
  <c r="E201" i="768"/>
  <c r="E201" i="32"/>
  <c r="E201" i="1"/>
  <c r="E201" i="3584"/>
  <c r="E201" i="20994"/>
  <c r="E201" i="2316"/>
  <c r="E201" i="25580"/>
  <c r="E201" i="9216"/>
  <c r="E200" i="1"/>
  <c r="E200" i="2316"/>
  <c r="E99" i="25586"/>
  <c r="E200" i="1024"/>
  <c r="E200" i="20994"/>
  <c r="E99" i="25587"/>
  <c r="E200" i="768"/>
  <c r="E200" i="32"/>
  <c r="E200" i="3584"/>
  <c r="E200" i="25580"/>
  <c r="E200" i="9216"/>
  <c r="E98" i="25586"/>
  <c r="E199" i="1024"/>
  <c r="E98" i="25587"/>
  <c r="E199" i="32"/>
  <c r="E199" i="3584"/>
  <c r="E199" i="768"/>
  <c r="E199" i="1"/>
  <c r="E199" i="20994"/>
  <c r="E199" i="2316"/>
  <c r="E199" i="25580"/>
  <c r="E199" i="9216"/>
  <c r="E198" i="1024"/>
  <c r="E198" i="768"/>
  <c r="E198" i="32"/>
  <c r="E198" i="20994"/>
  <c r="E198" i="2316"/>
  <c r="E198" i="3584"/>
  <c r="E198" i="25580"/>
  <c r="E198" i="9216"/>
  <c r="E97" i="25586"/>
  <c r="E97" i="25587"/>
  <c r="E198" i="1"/>
  <c r="E197" i="1024"/>
  <c r="E197" i="32"/>
  <c r="E96" i="25586"/>
  <c r="E96" i="25587"/>
  <c r="E197" i="1"/>
  <c r="E197" i="2316"/>
  <c r="E197" i="768"/>
  <c r="E197" i="3584"/>
  <c r="E197" i="20994"/>
  <c r="E197" i="25580"/>
  <c r="E197" i="9216"/>
  <c r="E95" i="25586"/>
  <c r="E196" i="1024"/>
  <c r="E95" i="25587"/>
  <c r="E196" i="1"/>
  <c r="E196" i="20994"/>
  <c r="E196" i="2316"/>
  <c r="E196" i="768"/>
  <c r="E196" i="32"/>
  <c r="E196" i="3584"/>
  <c r="E196" i="25580"/>
  <c r="E196" i="9216"/>
  <c r="E94" i="25586"/>
  <c r="E195" i="1024"/>
  <c r="E94" i="25587"/>
  <c r="E195" i="32"/>
  <c r="E195" i="2316"/>
  <c r="E195" i="768"/>
  <c r="E195" i="3584"/>
  <c r="E195" i="20994"/>
  <c r="E195" i="25580"/>
  <c r="E195" i="9216"/>
  <c r="E194" i="768"/>
  <c r="E194" i="20994"/>
  <c r="E194" i="32"/>
  <c r="E194" i="3584"/>
  <c r="E194" i="25580"/>
  <c r="E194" i="9216"/>
  <c r="E93" i="25587"/>
  <c r="E194" i="2316"/>
  <c r="E93" i="25586"/>
  <c r="E194" i="1024"/>
  <c r="E92" i="25586"/>
  <c r="E193" i="1024"/>
  <c r="E193" i="768"/>
  <c r="E193" i="3584"/>
  <c r="E193" i="20994"/>
  <c r="E193" i="2316"/>
  <c r="E92" i="25587"/>
  <c r="E193" i="32"/>
  <c r="E193" i="25580"/>
  <c r="E193" i="9216"/>
  <c r="E91" i="25586"/>
  <c r="E192" i="1024"/>
  <c r="E191" i="9216"/>
  <c r="E192" i="9216"/>
  <c r="E91" i="25587"/>
  <c r="E192" i="768"/>
  <c r="D191" i="32"/>
  <c r="E192" i="32"/>
  <c r="D191" i="25580"/>
  <c r="E192" i="25580"/>
  <c r="E192" i="3584"/>
  <c r="E192" i="20994"/>
  <c r="D191" i="2316"/>
  <c r="E192" i="2316"/>
  <c r="D191" i="1024"/>
  <c r="E191" i="32"/>
  <c r="E191" i="25580"/>
  <c r="E90" i="25586"/>
  <c r="E191" i="3584"/>
  <c r="E191" i="768"/>
  <c r="D191" i="768"/>
  <c r="D191" i="3584"/>
  <c r="E191" i="1024"/>
  <c r="D90" i="25586"/>
  <c r="D191" i="9216"/>
  <c r="D90" i="25587"/>
  <c r="E90" i="25587"/>
  <c r="D191" i="20994"/>
  <c r="E191" i="20994"/>
  <c r="E191" i="2316"/>
  <c r="C190" i="768"/>
  <c r="C190" i="1024"/>
  <c r="C190" i="3584"/>
  <c r="C190" i="25580"/>
  <c r="C190" i="9216"/>
  <c r="C190" i="20994"/>
  <c r="C190" i="32"/>
  <c r="C190" i="2316"/>
  <c r="B189" i="2316"/>
  <c r="B189" i="32"/>
  <c r="B189" i="1024"/>
  <c r="B189" i="9216"/>
  <c r="B189" i="20994"/>
  <c r="B189" i="768"/>
  <c r="B190" i="10285"/>
  <c r="B189" i="25580"/>
  <c r="B189" i="3584"/>
  <c r="F201" i="1024" l="1"/>
  <c r="F201" i="768"/>
  <c r="F201" i="32"/>
  <c r="F201" i="3584"/>
  <c r="F201" i="20994"/>
  <c r="F201" i="2316"/>
  <c r="F201" i="25580"/>
  <c r="F201" i="9216"/>
  <c r="D190" i="20994"/>
  <c r="D190" i="32"/>
  <c r="D190" i="1024"/>
  <c r="D190" i="3584"/>
  <c r="D190" i="2316"/>
  <c r="D190" i="25580"/>
  <c r="D190" i="9216"/>
  <c r="D190" i="768"/>
  <c r="C189" i="32"/>
  <c r="C189" i="9216"/>
  <c r="C189" i="768"/>
  <c r="B88" i="25587"/>
  <c r="B88" i="25586"/>
  <c r="A88" i="25586"/>
  <c r="A88" i="25587" s="1"/>
  <c r="A189" i="25590" s="1"/>
  <c r="A189" i="25588" s="1"/>
  <c r="A189" i="3584" s="1"/>
  <c r="A189" i="4888" s="1"/>
  <c r="A189" i="25580" s="1"/>
  <c r="A190" i="10285" s="1"/>
  <c r="A189" i="768" s="1"/>
  <c r="A189" i="20994" s="1"/>
  <c r="A189" i="9216" s="1"/>
  <c r="A189" i="1024" s="1"/>
  <c r="A189" i="32" s="1"/>
  <c r="A189" i="2316" s="1"/>
  <c r="F100" i="25587" l="1"/>
  <c r="F100" i="25586"/>
  <c r="D89" i="25586"/>
  <c r="D89" i="25587"/>
  <c r="C189" i="2316"/>
  <c r="C189" i="1024"/>
  <c r="C189" i="20994"/>
  <c r="C189" i="25580"/>
  <c r="C189" i="3584"/>
  <c r="B188" i="2316"/>
  <c r="B188" i="32"/>
  <c r="B188" i="1024"/>
  <c r="B188" i="9216"/>
  <c r="B188" i="20994"/>
  <c r="B188" i="768"/>
  <c r="B189" i="10285"/>
  <c r="B188" i="25580"/>
  <c r="B188" i="3584"/>
  <c r="B87" i="25587"/>
  <c r="B87" i="25586"/>
  <c r="A87" i="25586"/>
  <c r="A87" i="25587" s="1"/>
  <c r="A188" i="25590" s="1"/>
  <c r="A188" i="25588" s="1"/>
  <c r="A188" i="3584" s="1"/>
  <c r="A188" i="4888" s="1"/>
  <c r="A188" i="25580" s="1"/>
  <c r="A189" i="10285" s="1"/>
  <c r="A188" i="768" s="1"/>
  <c r="A188" i="20994" s="1"/>
  <c r="A188" i="9216" s="1"/>
  <c r="A188" i="1024" s="1"/>
  <c r="A188" i="32" s="1"/>
  <c r="A188" i="2316" s="1"/>
  <c r="F200" i="3584" l="1"/>
  <c r="F200" i="20994"/>
  <c r="F200" i="2316"/>
  <c r="F200" i="25580"/>
  <c r="F99" i="25586"/>
  <c r="F200" i="1024"/>
  <c r="F200" i="9216"/>
  <c r="F99" i="25587"/>
  <c r="F200" i="768"/>
  <c r="F200" i="32"/>
  <c r="D189" i="20994"/>
  <c r="D189" i="2316"/>
  <c r="D189" i="768"/>
  <c r="D189" i="25580"/>
  <c r="D189" i="9216"/>
  <c r="D189" i="32"/>
  <c r="D189" i="1024"/>
  <c r="D189" i="3584"/>
  <c r="D88" i="25587"/>
  <c r="D88" i="25586"/>
  <c r="C188" i="768"/>
  <c r="C188" i="32"/>
  <c r="C188" i="1024"/>
  <c r="C188" i="2316"/>
  <c r="C188" i="20994"/>
  <c r="C188" i="9216"/>
  <c r="C188" i="25580"/>
  <c r="C188" i="3584"/>
  <c r="B187" i="2316"/>
  <c r="B187" i="32"/>
  <c r="B187" i="1024"/>
  <c r="B187" i="9216"/>
  <c r="B187" i="20994"/>
  <c r="B187" i="768"/>
  <c r="B188" i="10285"/>
  <c r="B187" i="25580"/>
  <c r="B187" i="3584"/>
  <c r="B86" i="25587"/>
  <c r="B86" i="25586"/>
  <c r="A86" i="25586"/>
  <c r="A86" i="25587" s="1"/>
  <c r="A187" i="25590" s="1"/>
  <c r="A187" i="25588" s="1"/>
  <c r="A187" i="3584" s="1"/>
  <c r="A187" i="4888" s="1"/>
  <c r="A187" i="25580" s="1"/>
  <c r="A188" i="10285" s="1"/>
  <c r="A187" i="768" s="1"/>
  <c r="A187" i="20994" s="1"/>
  <c r="A187" i="9216" s="1"/>
  <c r="A187" i="1024" s="1"/>
  <c r="A187" i="32" s="1"/>
  <c r="A187" i="2316" s="1"/>
  <c r="F199" i="768" l="1"/>
  <c r="F199" i="3584"/>
  <c r="F199" i="2316"/>
  <c r="F98" i="25587"/>
  <c r="F199" i="25580"/>
  <c r="F199" i="9216"/>
  <c r="F199" i="32"/>
  <c r="F199" i="20994"/>
  <c r="F98" i="25586"/>
  <c r="F199" i="1024"/>
  <c r="D188" i="3584"/>
  <c r="D188" i="25580"/>
  <c r="D188" i="9216"/>
  <c r="D188" i="1024"/>
  <c r="D188" i="768"/>
  <c r="D87" i="25587"/>
  <c r="D188" i="32"/>
  <c r="D188" i="2316"/>
  <c r="D87" i="25586"/>
  <c r="D188" i="20994"/>
  <c r="C187" i="2316"/>
  <c r="C187" i="25580"/>
  <c r="C187" i="9216"/>
  <c r="C187" i="32"/>
  <c r="C187" i="1024"/>
  <c r="C187" i="20994"/>
  <c r="C187" i="768"/>
  <c r="C187" i="3584"/>
  <c r="B186" i="2316"/>
  <c r="B186" i="32"/>
  <c r="B186" i="1024"/>
  <c r="B186" i="9216"/>
  <c r="B186" i="20994"/>
  <c r="B186" i="768"/>
  <c r="B187" i="10285"/>
  <c r="B186" i="25580"/>
  <c r="B186" i="3584"/>
  <c r="B85" i="25587"/>
  <c r="B85" i="25586"/>
  <c r="A85" i="25586"/>
  <c r="A85" i="25587" s="1"/>
  <c r="A186" i="25590" s="1"/>
  <c r="A186" i="25588" s="1"/>
  <c r="A186" i="3584" s="1"/>
  <c r="A186" i="4888" s="1"/>
  <c r="A186" i="25580" s="1"/>
  <c r="A187" i="10285" s="1"/>
  <c r="A186" i="768" s="1"/>
  <c r="A186" i="20994" s="1"/>
  <c r="A186" i="9216" s="1"/>
  <c r="A186" i="1024" s="1"/>
  <c r="A186" i="32" s="1"/>
  <c r="A186" i="2316" s="1"/>
  <c r="G210" i="2316" l="1"/>
  <c r="G210" i="32"/>
  <c r="G210" i="1024"/>
  <c r="G210" i="9216"/>
  <c r="G210" i="20994"/>
  <c r="G210" i="768"/>
  <c r="G210" i="25580"/>
  <c r="G210" i="3584"/>
  <c r="G109" i="25586"/>
  <c r="F198" i="32"/>
  <c r="F198" i="20994"/>
  <c r="F198" i="2316"/>
  <c r="F198" i="768"/>
  <c r="F198" i="25580"/>
  <c r="F198" i="9216"/>
  <c r="F198" i="3584"/>
  <c r="F198" i="1024"/>
  <c r="F97" i="25587"/>
  <c r="F97" i="25586"/>
  <c r="D187" i="32"/>
  <c r="D187" i="20994"/>
  <c r="D187" i="25580"/>
  <c r="D187" i="9216"/>
  <c r="D86" i="25587"/>
  <c r="D187" i="1024"/>
  <c r="D86" i="25586"/>
  <c r="D187" i="768"/>
  <c r="D187" i="3584"/>
  <c r="D187" i="2316"/>
  <c r="C186" i="2316"/>
  <c r="C186" i="25580"/>
  <c r="C186" i="3584"/>
  <c r="C186" i="768"/>
  <c r="C186" i="20994"/>
  <c r="C186" i="1024"/>
  <c r="C186" i="9216"/>
  <c r="C186" i="32"/>
  <c r="B185" i="2316"/>
  <c r="B185" i="32"/>
  <c r="B185" i="1024"/>
  <c r="B185" i="9216"/>
  <c r="B185" i="20994"/>
  <c r="B185" i="768"/>
  <c r="B186" i="10285"/>
  <c r="B185" i="25580"/>
  <c r="G209" i="2316" l="1"/>
  <c r="G209" i="32"/>
  <c r="G209" i="1024"/>
  <c r="G209" i="9216"/>
  <c r="G209" i="20994"/>
  <c r="G209" i="768"/>
  <c r="G209" i="25580"/>
  <c r="F197" i="768"/>
  <c r="F197" i="2316"/>
  <c r="F197" i="32"/>
  <c r="F197" i="25580"/>
  <c r="F197" i="20994"/>
  <c r="F197" i="9216"/>
  <c r="F197" i="1024"/>
  <c r="D186" i="32"/>
  <c r="D186" i="20994"/>
  <c r="D186" i="25580"/>
  <c r="D186" i="9216"/>
  <c r="D186" i="1024"/>
  <c r="C185" i="768"/>
  <c r="D186" i="768"/>
  <c r="D186" i="2316"/>
  <c r="C185" i="1024"/>
  <c r="C185" i="25580"/>
  <c r="C185" i="20994"/>
  <c r="C185" i="2316"/>
  <c r="C185" i="32"/>
  <c r="C185" i="9216"/>
  <c r="B84" i="25587"/>
  <c r="B84" i="25586"/>
  <c r="A84" i="25586"/>
  <c r="A84" i="25587" s="1"/>
  <c r="A185" i="25590" s="1"/>
  <c r="A185" i="25588" s="1"/>
  <c r="A185" i="3584" s="1"/>
  <c r="A185" i="4888" s="1"/>
  <c r="A185" i="25580" s="1"/>
  <c r="A186" i="10285" s="1"/>
  <c r="A185" i="768" s="1"/>
  <c r="A185" i="20994" s="1"/>
  <c r="A185" i="9216" s="1"/>
  <c r="A185" i="1024" s="1"/>
  <c r="A185" i="32" s="1"/>
  <c r="A185" i="2316" s="1"/>
  <c r="G108" i="25586" l="1"/>
  <c r="F96" i="25586"/>
  <c r="F96" i="25587"/>
  <c r="D85" i="25586"/>
  <c r="D85" i="25587"/>
  <c r="B184" i="2316"/>
  <c r="B184" i="1024"/>
  <c r="B184" i="9216"/>
  <c r="B184" i="20994"/>
  <c r="B184" i="768"/>
  <c r="B185" i="10285"/>
  <c r="B184" i="25580"/>
  <c r="B83" i="25587"/>
  <c r="B83" i="25586"/>
  <c r="A83" i="25586"/>
  <c r="A83" i="25587" s="1"/>
  <c r="A184" i="25590" s="1"/>
  <c r="A184" i="25588" s="1"/>
  <c r="A184" i="3584" s="1"/>
  <c r="A184" i="4888" s="1"/>
  <c r="A184" i="25580" s="1"/>
  <c r="A185" i="10285" s="1"/>
  <c r="A184" i="768" s="1"/>
  <c r="A184" i="20994" s="1"/>
  <c r="A184" i="9216" s="1"/>
  <c r="A184" i="1024" s="1"/>
  <c r="A184" i="32" s="1"/>
  <c r="A184" i="2316" s="1"/>
  <c r="G208" i="2316" l="1"/>
  <c r="G208" i="1024"/>
  <c r="G208" i="9216"/>
  <c r="G208" i="20994"/>
  <c r="G208" i="768"/>
  <c r="G208" i="25580"/>
  <c r="G107" i="25586"/>
  <c r="F95" i="25586"/>
  <c r="F196" i="768"/>
  <c r="F196" i="2316"/>
  <c r="F196" i="1024"/>
  <c r="F95" i="25587"/>
  <c r="F196" i="20994"/>
  <c r="F196" i="25580"/>
  <c r="F196" i="9216"/>
  <c r="D84" i="25587"/>
  <c r="D185" i="25580"/>
  <c r="D185" i="9216"/>
  <c r="D185" i="1024"/>
  <c r="D185" i="20994"/>
  <c r="D185" i="768"/>
  <c r="D185" i="2316"/>
  <c r="D84" i="25586"/>
  <c r="C184" i="25580"/>
  <c r="C184" i="768"/>
  <c r="C184" i="9216"/>
  <c r="C184" i="1024"/>
  <c r="C184" i="2316"/>
  <c r="C184" i="20994"/>
  <c r="B183" i="2316"/>
  <c r="B183" i="32"/>
  <c r="B183" i="1024"/>
  <c r="B183" i="9216"/>
  <c r="B183" i="20994"/>
  <c r="B183" i="768"/>
  <c r="G207" i="1024" l="1"/>
  <c r="G207" i="2316"/>
  <c r="G207" i="9216"/>
  <c r="G207" i="20994"/>
  <c r="G207" i="768"/>
  <c r="G207" i="32"/>
  <c r="F195" i="32"/>
  <c r="F195" i="2316"/>
  <c r="F195" i="768"/>
  <c r="F195" i="20994"/>
  <c r="F195" i="9216"/>
  <c r="F195" i="1024"/>
  <c r="D184" i="20994"/>
  <c r="B184" i="32"/>
  <c r="D184" i="2316"/>
  <c r="D184" i="1024"/>
  <c r="D184" i="9216"/>
  <c r="D184" i="768"/>
  <c r="C183" i="768"/>
  <c r="C183" i="1024"/>
  <c r="C183" i="20994"/>
  <c r="C183" i="9216"/>
  <c r="C183" i="32"/>
  <c r="C183" i="2316"/>
  <c r="B184" i="10285"/>
  <c r="B82" i="25587"/>
  <c r="B82" i="25586"/>
  <c r="A82" i="25586"/>
  <c r="A82" i="25587" s="1"/>
  <c r="A183" i="25590" s="1"/>
  <c r="A183" i="25588" s="1"/>
  <c r="A183" i="3584" s="1"/>
  <c r="A183" i="4888" s="1"/>
  <c r="A183" i="25580" s="1"/>
  <c r="A184" i="10285" s="1"/>
  <c r="A183" i="768" s="1"/>
  <c r="A183" i="20994" s="1"/>
  <c r="A183" i="9216" s="1"/>
  <c r="A183" i="1024" s="1"/>
  <c r="A183" i="32" s="1"/>
  <c r="A183" i="2316" s="1"/>
  <c r="G208" i="32" l="1"/>
  <c r="G106" i="25586"/>
  <c r="F196" i="32"/>
  <c r="F94" i="25586"/>
  <c r="F94" i="25587"/>
  <c r="D185" i="32"/>
  <c r="C184" i="32"/>
  <c r="D184" i="32"/>
  <c r="D83" i="25586"/>
  <c r="D83" i="25587"/>
  <c r="B182" i="2316"/>
  <c r="B182" i="1024"/>
  <c r="B182" i="9216"/>
  <c r="B182" i="20994"/>
  <c r="B182" i="768"/>
  <c r="B183" i="10285"/>
  <c r="B182" i="25580"/>
  <c r="B81" i="25587"/>
  <c r="B81" i="25586"/>
  <c r="A81" i="25586"/>
  <c r="A81" i="25587" s="1"/>
  <c r="A182" i="25590" s="1"/>
  <c r="A182" i="25588" s="1"/>
  <c r="A182" i="3584" s="1"/>
  <c r="A182" i="4888" s="1"/>
  <c r="A182" i="25580" s="1"/>
  <c r="A183" i="10285" s="1"/>
  <c r="A182" i="768" s="1"/>
  <c r="A182" i="20994" s="1"/>
  <c r="A182" i="9216" s="1"/>
  <c r="A182" i="1024" s="1"/>
  <c r="A182" i="32" s="1"/>
  <c r="A182" i="2316" s="1"/>
  <c r="G206" i="2316" l="1"/>
  <c r="G206" i="1024"/>
  <c r="G206" i="9216"/>
  <c r="G206" i="20994"/>
  <c r="G206" i="768"/>
  <c r="G206" i="25580"/>
  <c r="G105" i="25586"/>
  <c r="F194" i="9216"/>
  <c r="F194" i="2316"/>
  <c r="F194" i="25580"/>
  <c r="F194" i="1024"/>
  <c r="F93" i="25586"/>
  <c r="F194" i="768"/>
  <c r="F93" i="25587"/>
  <c r="F194" i="20994"/>
  <c r="D82" i="25586"/>
  <c r="D183" i="2316"/>
  <c r="D183" i="768"/>
  <c r="D183" i="20994"/>
  <c r="D82" i="25587"/>
  <c r="D183" i="9216"/>
  <c r="D183" i="1024"/>
  <c r="C182" i="2316"/>
  <c r="C182" i="1024"/>
  <c r="C182" i="9216"/>
  <c r="C182" i="20994"/>
  <c r="C182" i="768"/>
  <c r="C182" i="25580"/>
  <c r="B181" i="2316"/>
  <c r="B181" i="32"/>
  <c r="B181" i="1024"/>
  <c r="B181" i="9216"/>
  <c r="B181" i="20994"/>
  <c r="B181" i="768"/>
  <c r="B182" i="10285"/>
  <c r="B181" i="25580"/>
  <c r="B181" i="3584"/>
  <c r="B80" i="25587"/>
  <c r="B80" i="25586"/>
  <c r="A80" i="25586"/>
  <c r="A80" i="25587" s="1"/>
  <c r="A181" i="25590" s="1"/>
  <c r="A181" i="25588" s="1"/>
  <c r="A181" i="3584" s="1"/>
  <c r="A181" i="4888" s="1"/>
  <c r="A181" i="25580" s="1"/>
  <c r="A182" i="10285" s="1"/>
  <c r="A181" i="768" s="1"/>
  <c r="A181" i="20994" s="1"/>
  <c r="A181" i="9216" s="1"/>
  <c r="A181" i="1024" s="1"/>
  <c r="A181" i="32" s="1"/>
  <c r="A181" i="2316" s="1"/>
  <c r="G205" i="2316" l="1"/>
  <c r="G205" i="32"/>
  <c r="G205" i="1024"/>
  <c r="G205" i="9216"/>
  <c r="G205" i="20994"/>
  <c r="G205" i="768"/>
  <c r="G205" i="25580"/>
  <c r="G205" i="3584"/>
  <c r="G104" i="25586"/>
  <c r="F92" i="25586"/>
  <c r="F193" i="1024"/>
  <c r="F193" i="768"/>
  <c r="F193" i="3584"/>
  <c r="F193" i="2316"/>
  <c r="F92" i="25587"/>
  <c r="F193" i="32"/>
  <c r="F193" i="20994"/>
  <c r="F193" i="25580"/>
  <c r="F193" i="9216"/>
  <c r="D182" i="25580"/>
  <c r="D182" i="1024"/>
  <c r="D182" i="2316"/>
  <c r="D81" i="25586"/>
  <c r="D81" i="25587"/>
  <c r="D182" i="9216"/>
  <c r="D182" i="768"/>
  <c r="D182" i="20994"/>
  <c r="B182" i="32"/>
  <c r="C181" i="2316"/>
  <c r="C181" i="25580"/>
  <c r="C181" i="768"/>
  <c r="C181" i="20994"/>
  <c r="C181" i="32"/>
  <c r="C181" i="1024"/>
  <c r="C181" i="9216"/>
  <c r="C181" i="3584"/>
  <c r="B180" i="2316"/>
  <c r="B180" i="32"/>
  <c r="B180" i="1024"/>
  <c r="B180" i="9216"/>
  <c r="B180" i="20994"/>
  <c r="B180" i="768"/>
  <c r="B181" i="10285"/>
  <c r="B180" i="25580"/>
  <c r="B180" i="3584"/>
  <c r="B79" i="25587"/>
  <c r="B79" i="25586"/>
  <c r="A79" i="25586"/>
  <c r="A79" i="25587" s="1"/>
  <c r="A180" i="25590" s="1"/>
  <c r="A180" i="25588" s="1"/>
  <c r="A180" i="3584" s="1"/>
  <c r="A180" i="4888" s="1"/>
  <c r="A180" i="25580" s="1"/>
  <c r="A181" i="10285" s="1"/>
  <c r="A180" i="768" s="1"/>
  <c r="A180" i="20994" s="1"/>
  <c r="A180" i="9216" s="1"/>
  <c r="A180" i="1024" s="1"/>
  <c r="A180" i="32" s="1"/>
  <c r="A180" i="2316" s="1"/>
  <c r="G206" i="32" l="1"/>
  <c r="G204" i="2316"/>
  <c r="G204" i="32"/>
  <c r="G204" i="1024"/>
  <c r="G204" i="9216"/>
  <c r="G204" i="20994"/>
  <c r="G204" i="768"/>
  <c r="G204" i="25580"/>
  <c r="G204" i="3584"/>
  <c r="G103" i="25586"/>
  <c r="F194" i="32"/>
  <c r="F91" i="25586"/>
  <c r="F192" i="1024"/>
  <c r="F91" i="25587"/>
  <c r="F192" i="768"/>
  <c r="F192" i="32"/>
  <c r="F192" i="3584"/>
  <c r="F192" i="20994"/>
  <c r="F192" i="2316"/>
  <c r="F192" i="25580"/>
  <c r="F192" i="9216"/>
  <c r="D181" i="32"/>
  <c r="D183" i="32"/>
  <c r="D181" i="768"/>
  <c r="D182" i="32"/>
  <c r="C182" i="32"/>
  <c r="D181" i="2316"/>
  <c r="D80" i="25586"/>
  <c r="D181" i="20994"/>
  <c r="D181" i="3584"/>
  <c r="D181" i="25580"/>
  <c r="D181" i="1024"/>
  <c r="C180" i="9216"/>
  <c r="D181" i="9216"/>
  <c r="C180" i="768"/>
  <c r="D80" i="25587"/>
  <c r="C180" i="3584"/>
  <c r="C180" i="25580"/>
  <c r="C180" i="1024"/>
  <c r="C180" i="2316"/>
  <c r="C180" i="32"/>
  <c r="C180" i="20994"/>
  <c r="B179" i="2316"/>
  <c r="B179" i="32"/>
  <c r="B179" i="1024"/>
  <c r="B179" i="9216"/>
  <c r="B179" i="20994"/>
  <c r="B179" i="768"/>
  <c r="B180" i="10285"/>
  <c r="B179" i="25580"/>
  <c r="B179" i="3584"/>
  <c r="B78" i="25587"/>
  <c r="B78" i="25586"/>
  <c r="A78" i="25586"/>
  <c r="A78" i="25587" s="1"/>
  <c r="A179" i="25590" s="1"/>
  <c r="A179" i="25588" s="1"/>
  <c r="A179" i="3584" s="1"/>
  <c r="A179" i="4888" s="1"/>
  <c r="A179" i="25580" s="1"/>
  <c r="A180" i="10285" s="1"/>
  <c r="A179" i="768" s="1"/>
  <c r="A179" i="20994" s="1"/>
  <c r="A179" i="9216" s="1"/>
  <c r="A179" i="1024" s="1"/>
  <c r="A179" i="32" s="1"/>
  <c r="A179" i="2316" s="1"/>
  <c r="G203" i="2316" l="1"/>
  <c r="G203" i="32"/>
  <c r="G203" i="1024"/>
  <c r="G203" i="9216"/>
  <c r="G203" i="20994"/>
  <c r="G203" i="768"/>
  <c r="G203" i="25580"/>
  <c r="G203" i="3584"/>
  <c r="G102" i="25586"/>
  <c r="F191" i="32"/>
  <c r="F191" i="1024"/>
  <c r="F191" i="768"/>
  <c r="F191" i="3584"/>
  <c r="F191" i="20994"/>
  <c r="F191" i="2316"/>
  <c r="F90" i="25586"/>
  <c r="F90" i="25587"/>
  <c r="F191" i="25580"/>
  <c r="F191" i="9216"/>
  <c r="C179" i="768"/>
  <c r="B182" i="3584"/>
  <c r="D180" i="20994"/>
  <c r="D180" i="768"/>
  <c r="D180" i="2316"/>
  <c r="C179" i="20994"/>
  <c r="D180" i="3584"/>
  <c r="D180" i="1024"/>
  <c r="D180" i="25580"/>
  <c r="C179" i="9216"/>
  <c r="D79" i="25586"/>
  <c r="D79" i="25587"/>
  <c r="C179" i="1024"/>
  <c r="D180" i="9216"/>
  <c r="D180" i="32"/>
  <c r="C179" i="3584"/>
  <c r="C179" i="25580"/>
  <c r="C179" i="2316"/>
  <c r="C179" i="32"/>
  <c r="B178" i="2316"/>
  <c r="B178" i="32"/>
  <c r="B178" i="1024"/>
  <c r="B178" i="9216"/>
  <c r="B178" i="20994"/>
  <c r="B178" i="768"/>
  <c r="B179" i="10285"/>
  <c r="B178" i="25580"/>
  <c r="B178" i="3584"/>
  <c r="G206" i="3584" l="1"/>
  <c r="G202" i="2316"/>
  <c r="G202" i="32"/>
  <c r="G202" i="1024"/>
  <c r="G202" i="9216"/>
  <c r="G202" i="20994"/>
  <c r="G202" i="768"/>
  <c r="G202" i="25580"/>
  <c r="G202" i="3584"/>
  <c r="F194" i="3584"/>
  <c r="E190" i="2316"/>
  <c r="F190" i="2316"/>
  <c r="F190" i="25580"/>
  <c r="E190" i="25580"/>
  <c r="F190" i="20994"/>
  <c r="E190" i="20994"/>
  <c r="F190" i="9216"/>
  <c r="E190" i="9216"/>
  <c r="F190" i="1024"/>
  <c r="E190" i="1024"/>
  <c r="F190" i="3584"/>
  <c r="E190" i="3584"/>
  <c r="E190" i="768"/>
  <c r="F190" i="768"/>
  <c r="F190" i="32"/>
  <c r="E190" i="32"/>
  <c r="E189" i="3584"/>
  <c r="E189" i="9216"/>
  <c r="E189" i="2316"/>
  <c r="E189" i="1024"/>
  <c r="E189" i="20994"/>
  <c r="E189" i="25580"/>
  <c r="E189" i="768"/>
  <c r="E189" i="32"/>
  <c r="E188" i="20994"/>
  <c r="E188" i="9216"/>
  <c r="E188" i="1024"/>
  <c r="E188" i="3584"/>
  <c r="E188" i="2316"/>
  <c r="E188" i="25580"/>
  <c r="E188" i="768"/>
  <c r="E188" i="32"/>
  <c r="E187" i="3584"/>
  <c r="E187" i="2316"/>
  <c r="E187" i="9216"/>
  <c r="E187" i="25580"/>
  <c r="E187" i="1024"/>
  <c r="E187" i="20994"/>
  <c r="E187" i="768"/>
  <c r="E187" i="32"/>
  <c r="E186" i="2316"/>
  <c r="E186" i="9216"/>
  <c r="E186" i="20994"/>
  <c r="E186" i="1024"/>
  <c r="E186" i="3584"/>
  <c r="E186" i="25580"/>
  <c r="E186" i="768"/>
  <c r="E186" i="32"/>
  <c r="E185" i="9216"/>
  <c r="E185" i="20994"/>
  <c r="E185" i="1024"/>
  <c r="E185" i="2316"/>
  <c r="E185" i="25580"/>
  <c r="E185" i="768"/>
  <c r="E185" i="32"/>
  <c r="E184" i="20994"/>
  <c r="E184" i="25580"/>
  <c r="E184" i="9216"/>
  <c r="E184" i="2316"/>
  <c r="E184" i="1024"/>
  <c r="E184" i="768"/>
  <c r="E184" i="32"/>
  <c r="E183" i="2316"/>
  <c r="E183" i="20994"/>
  <c r="E183" i="9216"/>
  <c r="E183" i="1024"/>
  <c r="E183" i="768"/>
  <c r="E183" i="32"/>
  <c r="E182" i="20994"/>
  <c r="E182" i="25580"/>
  <c r="E182" i="1024"/>
  <c r="E182" i="768"/>
  <c r="E182" i="32"/>
  <c r="E182" i="2316"/>
  <c r="E182" i="9216"/>
  <c r="E182" i="3584"/>
  <c r="D182" i="3584"/>
  <c r="C182" i="3584"/>
  <c r="E181" i="20994"/>
  <c r="E181" i="9216"/>
  <c r="E181" i="2316"/>
  <c r="E181" i="25580"/>
  <c r="E181" i="1024"/>
  <c r="E181" i="3584"/>
  <c r="E181" i="768"/>
  <c r="E181" i="32"/>
  <c r="D179" i="3584"/>
  <c r="E180" i="3584"/>
  <c r="E180" i="32"/>
  <c r="E180" i="20994"/>
  <c r="E180" i="1024"/>
  <c r="E180" i="768"/>
  <c r="D179" i="2316"/>
  <c r="E180" i="2316"/>
  <c r="E180" i="25580"/>
  <c r="E179" i="9216"/>
  <c r="E180" i="9216"/>
  <c r="E179" i="2316"/>
  <c r="E179" i="768"/>
  <c r="D179" i="768"/>
  <c r="D179" i="9216"/>
  <c r="D179" i="32"/>
  <c r="E179" i="32"/>
  <c r="E179" i="25580"/>
  <c r="D179" i="25580"/>
  <c r="E179" i="3584"/>
  <c r="E179" i="1024"/>
  <c r="D179" i="1024"/>
  <c r="E179" i="20994"/>
  <c r="D179" i="20994"/>
  <c r="C178" i="1024"/>
  <c r="C178" i="3584"/>
  <c r="C178" i="9216"/>
  <c r="C178" i="768"/>
  <c r="C178" i="20994"/>
  <c r="C178" i="2316"/>
  <c r="C178" i="32"/>
  <c r="C178" i="25580"/>
  <c r="B77" i="25587"/>
  <c r="B77" i="25586"/>
  <c r="A77" i="25586"/>
  <c r="A77" i="25587" s="1"/>
  <c r="A178" i="25590" s="1"/>
  <c r="A178" i="25588" s="1"/>
  <c r="A178" i="3584" s="1"/>
  <c r="A178" i="4888" s="1"/>
  <c r="A178" i="25580" s="1"/>
  <c r="A179" i="10285" s="1"/>
  <c r="A178" i="768" s="1"/>
  <c r="A178" i="20994" s="1"/>
  <c r="A178" i="9216" s="1"/>
  <c r="A178" i="1024" s="1"/>
  <c r="A178" i="32" s="1"/>
  <c r="A178" i="2316" s="1"/>
  <c r="G101" i="25586" l="1"/>
  <c r="F89" i="25587"/>
  <c r="E89" i="25587"/>
  <c r="E89" i="25586"/>
  <c r="F89" i="25586"/>
  <c r="E88" i="25586"/>
  <c r="E88" i="25587"/>
  <c r="E87" i="25586"/>
  <c r="E87" i="25587"/>
  <c r="E86" i="25586"/>
  <c r="E86" i="25587"/>
  <c r="E85" i="25586"/>
  <c r="E85" i="25587"/>
  <c r="E84" i="25586"/>
  <c r="E84" i="25587"/>
  <c r="E83" i="25586"/>
  <c r="E83" i="25587"/>
  <c r="E82" i="25586"/>
  <c r="E82" i="25587"/>
  <c r="E81" i="25587"/>
  <c r="E81" i="25586"/>
  <c r="E80" i="25586"/>
  <c r="E80" i="25587"/>
  <c r="E79" i="25586"/>
  <c r="E79" i="25587"/>
  <c r="E78" i="25587"/>
  <c r="D78" i="25587"/>
  <c r="E78" i="25586"/>
  <c r="D78" i="25586"/>
  <c r="B177" i="2316"/>
  <c r="B177" i="32"/>
  <c r="B177" i="1024"/>
  <c r="B177" i="9216"/>
  <c r="B177" i="20994"/>
  <c r="B177" i="768"/>
  <c r="B178" i="10285"/>
  <c r="B177" i="25580"/>
  <c r="B177" i="3584"/>
  <c r="B76" i="25587"/>
  <c r="B76" i="25586"/>
  <c r="A76" i="25586"/>
  <c r="A76" i="25587" s="1"/>
  <c r="A177" i="25590" s="1"/>
  <c r="A177" i="25588" s="1"/>
  <c r="A177" i="3584" s="1"/>
  <c r="A177" i="4888" s="1"/>
  <c r="A177" i="25580" s="1"/>
  <c r="A178" i="10285" s="1"/>
  <c r="A177" i="768" s="1"/>
  <c r="A177" i="20994" s="1"/>
  <c r="A177" i="9216" s="1"/>
  <c r="A177" i="1024" s="1"/>
  <c r="A177" i="32" s="1"/>
  <c r="A177" i="2316" s="1"/>
  <c r="G201" i="25580" l="1"/>
  <c r="G201" i="9216"/>
  <c r="G100" i="25586"/>
  <c r="G201" i="1024"/>
  <c r="G201" i="768"/>
  <c r="G201" i="32"/>
  <c r="G201" i="3584"/>
  <c r="G201" i="20994"/>
  <c r="G201" i="2316"/>
  <c r="F189" i="768"/>
  <c r="F189" i="32"/>
  <c r="F189" i="3584"/>
  <c r="F189" i="2316"/>
  <c r="F189" i="9216"/>
  <c r="F88" i="25587"/>
  <c r="F189" i="20994"/>
  <c r="F189" i="25580"/>
  <c r="F88" i="25586"/>
  <c r="F189" i="1024"/>
  <c r="D178" i="20994"/>
  <c r="D178" i="2316"/>
  <c r="D178" i="25580"/>
  <c r="D178" i="9216"/>
  <c r="D178" i="1024"/>
  <c r="D178" i="3584"/>
  <c r="D178" i="768"/>
  <c r="D178" i="32"/>
  <c r="D77" i="25586"/>
  <c r="D77" i="25587"/>
  <c r="C177" i="25580"/>
  <c r="C177" i="3584"/>
  <c r="C177" i="20994"/>
  <c r="C177" i="9216"/>
  <c r="C177" i="1024"/>
  <c r="C177" i="32"/>
  <c r="C177" i="2316"/>
  <c r="C177" i="768"/>
  <c r="B175" i="2316"/>
  <c r="B176" i="2316"/>
  <c r="B176" i="32"/>
  <c r="B176" i="1024"/>
  <c r="B176" i="9216"/>
  <c r="B176" i="20994"/>
  <c r="B176" i="768"/>
  <c r="B177" i="10285"/>
  <c r="B176" i="25580"/>
  <c r="B176" i="3584"/>
  <c r="G200" i="1024" l="1"/>
  <c r="G200" i="768"/>
  <c r="G200" i="3584"/>
  <c r="G200" i="20994"/>
  <c r="G200" i="2316"/>
  <c r="G200" i="32"/>
  <c r="G200" i="25580"/>
  <c r="G200" i="9216"/>
  <c r="G199" i="2316"/>
  <c r="F188" i="20994"/>
  <c r="F188" i="2316"/>
  <c r="F188" i="25580"/>
  <c r="F188" i="9216"/>
  <c r="F188" i="1024"/>
  <c r="F188" i="3584"/>
  <c r="F188" i="768"/>
  <c r="F188" i="32"/>
  <c r="F187" i="2316"/>
  <c r="D177" i="20994"/>
  <c r="D177" i="25580"/>
  <c r="D177" i="1024"/>
  <c r="D177" i="32"/>
  <c r="D177" i="3584"/>
  <c r="D177" i="9216"/>
  <c r="D177" i="768"/>
  <c r="D177" i="2316"/>
  <c r="C176" i="768"/>
  <c r="C176" i="9216"/>
  <c r="C176" i="1024"/>
  <c r="C176" i="2316"/>
  <c r="D176" i="2316"/>
  <c r="C176" i="32"/>
  <c r="C176" i="20994"/>
  <c r="C176" i="25580"/>
  <c r="C176" i="3584"/>
  <c r="B75" i="25587"/>
  <c r="B75" i="25586"/>
  <c r="A75" i="25586"/>
  <c r="A75" i="25587" s="1"/>
  <c r="A176" i="25590" s="1"/>
  <c r="A176" i="25588" s="1"/>
  <c r="A176" i="3584" s="1"/>
  <c r="A176" i="4888" s="1"/>
  <c r="A176" i="25580" s="1"/>
  <c r="A177" i="10285" s="1"/>
  <c r="A176" i="768" s="1"/>
  <c r="A176" i="20994" s="1"/>
  <c r="A176" i="9216" s="1"/>
  <c r="A176" i="1024" s="1"/>
  <c r="A176" i="32" s="1"/>
  <c r="A176" i="2316" s="1"/>
  <c r="G99" i="25586" l="1"/>
  <c r="F87" i="25586"/>
  <c r="F87" i="25587"/>
  <c r="D76" i="25587"/>
  <c r="D76" i="25586"/>
  <c r="B175" i="32"/>
  <c r="B175" i="1024"/>
  <c r="B175" i="9216"/>
  <c r="B175" i="20994"/>
  <c r="B175" i="768"/>
  <c r="B176" i="10285"/>
  <c r="B175" i="25580"/>
  <c r="B175" i="3584"/>
  <c r="B74" i="25587"/>
  <c r="B74" i="25586"/>
  <c r="A74" i="25586"/>
  <c r="A74" i="25587" s="1"/>
  <c r="A175" i="25590" s="1"/>
  <c r="A175" i="25588" s="1"/>
  <c r="A175" i="3584" s="1"/>
  <c r="A175" i="4888" s="1"/>
  <c r="A175" i="25580" s="1"/>
  <c r="A176" i="10285" s="1"/>
  <c r="A175" i="768" s="1"/>
  <c r="A175" i="20994" s="1"/>
  <c r="A175" i="9216" s="1"/>
  <c r="A175" i="1024" s="1"/>
  <c r="A175" i="32" s="1"/>
  <c r="A175" i="2316" s="1"/>
  <c r="G199" i="20994" l="1"/>
  <c r="G199" i="1024"/>
  <c r="G199" i="3584"/>
  <c r="G199" i="25580"/>
  <c r="G199" i="9216"/>
  <c r="G98" i="25586"/>
  <c r="G199" i="768"/>
  <c r="G199" i="32"/>
  <c r="F86" i="25586"/>
  <c r="F187" i="32"/>
  <c r="F187" i="1024"/>
  <c r="F187" i="3584"/>
  <c r="F86" i="25587"/>
  <c r="F187" i="768"/>
  <c r="F187" i="20994"/>
  <c r="F187" i="25580"/>
  <c r="F187" i="9216"/>
  <c r="D176" i="20994"/>
  <c r="D176" i="25580"/>
  <c r="D176" i="9216"/>
  <c r="D176" i="1024"/>
  <c r="D176" i="3584"/>
  <c r="D176" i="768"/>
  <c r="D176" i="32"/>
  <c r="D75" i="25586"/>
  <c r="D75" i="25587"/>
  <c r="C175" i="25580"/>
  <c r="C175" i="2316"/>
  <c r="C175" i="32"/>
  <c r="C175" i="1024"/>
  <c r="C175" i="9216"/>
  <c r="C175" i="20994"/>
  <c r="C175" i="768"/>
  <c r="C175" i="3584"/>
  <c r="B174" i="2316"/>
  <c r="B174" i="32"/>
  <c r="B174" i="1024"/>
  <c r="B174" i="9216"/>
  <c r="B174" i="20994"/>
  <c r="B174" i="768"/>
  <c r="B175" i="10285"/>
  <c r="B174" i="25580"/>
  <c r="B174" i="3584"/>
  <c r="G198" i="768" l="1"/>
  <c r="G198" i="32"/>
  <c r="G198" i="3584"/>
  <c r="G198" i="20994"/>
  <c r="G198" i="2316"/>
  <c r="G198" i="25580"/>
  <c r="G198" i="9216"/>
  <c r="G198" i="1024"/>
  <c r="F186" i="1024"/>
  <c r="F186" i="32"/>
  <c r="F186" i="20994"/>
  <c r="F186" i="768"/>
  <c r="F186" i="3584"/>
  <c r="F186" i="2316"/>
  <c r="F186" i="25580"/>
  <c r="F186" i="9216"/>
  <c r="D175" i="768"/>
  <c r="D175" i="32"/>
  <c r="D175" i="25580"/>
  <c r="D175" i="1024"/>
  <c r="D175" i="3584"/>
  <c r="D175" i="9216"/>
  <c r="D175" i="20994"/>
  <c r="D175" i="2316"/>
  <c r="C174" i="2316"/>
  <c r="C174" i="25580"/>
  <c r="C174" i="3584"/>
  <c r="C174" i="768"/>
  <c r="C174" i="20994"/>
  <c r="C174" i="32"/>
  <c r="C174" i="1024"/>
  <c r="C174" i="9216"/>
  <c r="B73" i="25587"/>
  <c r="B73" i="25586"/>
  <c r="A73" i="25586"/>
  <c r="A73" i="25587" s="1"/>
  <c r="A174" i="25590" s="1"/>
  <c r="A174" i="25588" s="1"/>
  <c r="A174" i="3584" s="1"/>
  <c r="A174" i="4888" s="1"/>
  <c r="A174" i="25580" s="1"/>
  <c r="A175" i="10285" s="1"/>
  <c r="A174" i="768" s="1"/>
  <c r="A174" i="20994" s="1"/>
  <c r="A174" i="9216" s="1"/>
  <c r="A174" i="1024" s="1"/>
  <c r="A174" i="32" s="1"/>
  <c r="A174" i="2316" s="1"/>
  <c r="G97" i="25586" l="1"/>
  <c r="F85" i="25586"/>
  <c r="F85" i="25587"/>
  <c r="D74" i="25587"/>
  <c r="D74" i="25586"/>
  <c r="B173" i="2316"/>
  <c r="B173" i="32"/>
  <c r="B173" i="1024"/>
  <c r="B173" i="9216"/>
  <c r="B173" i="20994"/>
  <c r="B173" i="768"/>
  <c r="B174" i="10285"/>
  <c r="B173" i="25580"/>
  <c r="B72" i="25587"/>
  <c r="B72" i="25586"/>
  <c r="A72" i="25586"/>
  <c r="A72" i="25587" s="1"/>
  <c r="A173" i="25590" s="1"/>
  <c r="A173" i="25588" s="1"/>
  <c r="A173" i="3584" s="1"/>
  <c r="A173" i="4888" s="1"/>
  <c r="A173" i="25580" s="1"/>
  <c r="A174" i="10285" s="1"/>
  <c r="A173" i="768" s="1"/>
  <c r="A173" i="20994" s="1"/>
  <c r="A173" i="9216" s="1"/>
  <c r="A173" i="1024" s="1"/>
  <c r="A173" i="32" s="1"/>
  <c r="A173" i="2316" s="1"/>
  <c r="G197" i="1024" l="1"/>
  <c r="G197" i="9216"/>
  <c r="G96" i="25586"/>
  <c r="G197" i="768"/>
  <c r="G197" i="32"/>
  <c r="G197" i="25580"/>
  <c r="G197" i="20994"/>
  <c r="G197" i="2316"/>
  <c r="F185" i="768"/>
  <c r="F185" i="32"/>
  <c r="F185" i="2316"/>
  <c r="F84" i="25587"/>
  <c r="F185" i="20994"/>
  <c r="F185" i="25580"/>
  <c r="F185" i="9216"/>
  <c r="F84" i="25586"/>
  <c r="F185" i="1024"/>
  <c r="D73" i="25586"/>
  <c r="D174" i="25580"/>
  <c r="D174" i="9216"/>
  <c r="D174" i="1024"/>
  <c r="D174" i="768"/>
  <c r="D174" i="32"/>
  <c r="D174" i="20994"/>
  <c r="D174" i="2316"/>
  <c r="D73" i="25587"/>
  <c r="C173" i="2316"/>
  <c r="C173" i="32"/>
  <c r="C173" i="1024"/>
  <c r="C173" i="9216"/>
  <c r="C173" i="20994"/>
  <c r="C173" i="768"/>
  <c r="C173" i="25580"/>
  <c r="B172" i="2316"/>
  <c r="B172" i="32"/>
  <c r="B172" i="1024"/>
  <c r="B172" i="9216"/>
  <c r="B172" i="20994"/>
  <c r="B172" i="768"/>
  <c r="B173" i="10285"/>
  <c r="B172" i="25580"/>
  <c r="B172" i="3584"/>
  <c r="B71" i="25587"/>
  <c r="B71" i="25586"/>
  <c r="A71" i="25586"/>
  <c r="A71" i="25587" s="1"/>
  <c r="A172" i="25590" s="1"/>
  <c r="A172" i="25588" s="1"/>
  <c r="A172" i="3584" s="1"/>
  <c r="A172" i="4888" s="1"/>
  <c r="A172" i="25580" s="1"/>
  <c r="A173" i="10285" s="1"/>
  <c r="A172" i="768" s="1"/>
  <c r="A172" i="20994" s="1"/>
  <c r="A172" i="9216" s="1"/>
  <c r="A172" i="1024" s="1"/>
  <c r="A172" i="32" s="1"/>
  <c r="A172" i="2316" s="1"/>
  <c r="G196" i="768" l="1"/>
  <c r="G95" i="25586"/>
  <c r="G196" i="1024"/>
  <c r="G196" i="3584"/>
  <c r="G196" i="20994"/>
  <c r="G196" i="2316"/>
  <c r="G196" i="32"/>
  <c r="G196" i="25580"/>
  <c r="G196" i="9216"/>
  <c r="F184" i="25580"/>
  <c r="F184" i="9216"/>
  <c r="F83" i="25587"/>
  <c r="F184" i="768"/>
  <c r="F184" i="32"/>
  <c r="F83" i="25586"/>
  <c r="F184" i="1024"/>
  <c r="F184" i="20994"/>
  <c r="F184" i="2316"/>
  <c r="D173" i="2316"/>
  <c r="C172" i="25580"/>
  <c r="D173" i="768"/>
  <c r="D173" i="1024"/>
  <c r="D173" i="32"/>
  <c r="D72" i="25587"/>
  <c r="D173" i="20994"/>
  <c r="C172" i="2316"/>
  <c r="D72" i="25586"/>
  <c r="D173" i="25580"/>
  <c r="D173" i="9216"/>
  <c r="C172" i="32"/>
  <c r="C172" i="1024"/>
  <c r="C172" i="9216"/>
  <c r="C172" i="20994"/>
  <c r="C172" i="768"/>
  <c r="C172" i="3584"/>
  <c r="B171" i="2316"/>
  <c r="B171" i="32"/>
  <c r="B171" i="1024"/>
  <c r="B171" i="9216"/>
  <c r="B171" i="20994"/>
  <c r="B171" i="768"/>
  <c r="B172" i="10285"/>
  <c r="B171" i="25580"/>
  <c r="G195" i="20994" l="1"/>
  <c r="G195" i="2316"/>
  <c r="G195" i="768"/>
  <c r="G195" i="25580"/>
  <c r="G195" i="9216"/>
  <c r="G195" i="32"/>
  <c r="G195" i="1024"/>
  <c r="F183" i="1024"/>
  <c r="F183" i="768"/>
  <c r="F183" i="32"/>
  <c r="F183" i="20994"/>
  <c r="F183" i="2316"/>
  <c r="F183" i="9216"/>
  <c r="B173" i="3584"/>
  <c r="D172" i="20994"/>
  <c r="D172" i="25580"/>
  <c r="D172" i="9216"/>
  <c r="C171" i="1024"/>
  <c r="D172" i="1024"/>
  <c r="D172" i="768"/>
  <c r="D172" i="32"/>
  <c r="D172" i="2316"/>
  <c r="C171" i="9216"/>
  <c r="C171" i="32"/>
  <c r="C171" i="2316"/>
  <c r="C171" i="20994"/>
  <c r="C171" i="768"/>
  <c r="C171" i="25580"/>
  <c r="G197" i="3584" l="1"/>
  <c r="D174" i="3584"/>
  <c r="C173" i="3584"/>
  <c r="D173" i="3584"/>
  <c r="B171" i="3584"/>
  <c r="B70" i="25587"/>
  <c r="B70" i="25586"/>
  <c r="A70" i="25586"/>
  <c r="A70" i="25587" s="1"/>
  <c r="A171" i="25590" s="1"/>
  <c r="A171" i="25588" s="1"/>
  <c r="A171" i="3584" s="1"/>
  <c r="A171" i="4888" s="1"/>
  <c r="A171" i="25580" s="1"/>
  <c r="A172" i="10285" s="1"/>
  <c r="A171" i="768" s="1"/>
  <c r="A171" i="20994" s="1"/>
  <c r="A171" i="9216" s="1"/>
  <c r="A171" i="1024" s="1"/>
  <c r="A171" i="32" s="1"/>
  <c r="A171" i="2316" s="1"/>
  <c r="G94" i="25586" l="1"/>
  <c r="G195" i="3584"/>
  <c r="F82" i="25586"/>
  <c r="F82" i="25587"/>
  <c r="D172" i="3584"/>
  <c r="D71" i="25586"/>
  <c r="D71" i="25587"/>
  <c r="C171" i="3584"/>
  <c r="B170" i="2316"/>
  <c r="B170" i="32"/>
  <c r="B170" i="1024"/>
  <c r="B170" i="9216"/>
  <c r="B170" i="20994"/>
  <c r="B170" i="768"/>
  <c r="B171" i="10285"/>
  <c r="B170" i="25580"/>
  <c r="B170" i="3584"/>
  <c r="B69" i="25587"/>
  <c r="B69" i="25586"/>
  <c r="A69" i="25586"/>
  <c r="A69" i="25587" s="1"/>
  <c r="A170" i="25590" s="1"/>
  <c r="A170" i="25588" s="1"/>
  <c r="A170" i="3584" s="1"/>
  <c r="A170" i="4888" s="1"/>
  <c r="A170" i="25580" s="1"/>
  <c r="A171" i="10285" s="1"/>
  <c r="A170" i="768" s="1"/>
  <c r="A170" i="20994" s="1"/>
  <c r="A170" i="9216" s="1"/>
  <c r="A170" i="1024" s="1"/>
  <c r="A170" i="32" s="1"/>
  <c r="A170" i="2316" s="1"/>
  <c r="G194" i="32" l="1"/>
  <c r="G194" i="3584"/>
  <c r="G194" i="20994"/>
  <c r="G194" i="25580"/>
  <c r="G194" i="9216"/>
  <c r="G194" i="768"/>
  <c r="G194" i="2316"/>
  <c r="G93" i="25586"/>
  <c r="G194" i="1024"/>
  <c r="F81" i="25586"/>
  <c r="F81" i="25587"/>
  <c r="F182" i="25580"/>
  <c r="F182" i="9216"/>
  <c r="F182" i="1024"/>
  <c r="F182" i="768"/>
  <c r="F182" i="32"/>
  <c r="F182" i="3584"/>
  <c r="F182" i="20994"/>
  <c r="F182" i="2316"/>
  <c r="D70" i="25586"/>
  <c r="D171" i="20994"/>
  <c r="D171" i="2316"/>
  <c r="D171" i="25580"/>
  <c r="D171" i="9216"/>
  <c r="D171" i="3584"/>
  <c r="D171" i="1024"/>
  <c r="D171" i="768"/>
  <c r="D171" i="32"/>
  <c r="D70" i="25587"/>
  <c r="C170" i="3584"/>
  <c r="C170" i="32"/>
  <c r="C170" i="2316"/>
  <c r="C170" i="1024"/>
  <c r="C170" i="9216"/>
  <c r="C170" i="20994"/>
  <c r="C170" i="768"/>
  <c r="C170" i="25580"/>
  <c r="B169" i="2316"/>
  <c r="B169" i="32"/>
  <c r="B169" i="1024"/>
  <c r="B169" i="9216"/>
  <c r="B169" i="20994"/>
  <c r="B169" i="768"/>
  <c r="B170" i="10285"/>
  <c r="B169" i="25580"/>
  <c r="B169" i="3584"/>
  <c r="B68" i="25587"/>
  <c r="B68" i="25586"/>
  <c r="A68" i="25586"/>
  <c r="A68" i="25587" s="1"/>
  <c r="A169" i="25590" s="1"/>
  <c r="A169" i="25588" s="1"/>
  <c r="A169" i="3584" s="1"/>
  <c r="A169" i="4888" s="1"/>
  <c r="A169" i="25580" s="1"/>
  <c r="A170" i="10285" s="1"/>
  <c r="A169" i="768" s="1"/>
  <c r="A169" i="20994" s="1"/>
  <c r="A169" i="9216" s="1"/>
  <c r="A169" i="1024" s="1"/>
  <c r="A169" i="32" s="1"/>
  <c r="A169" i="2316" s="1"/>
  <c r="G193" i="25580" l="1"/>
  <c r="G193" i="1024"/>
  <c r="G193" i="768"/>
  <c r="G193" i="32"/>
  <c r="G193" i="9216"/>
  <c r="G92" i="25586"/>
  <c r="G193" i="3584"/>
  <c r="G193" i="20994"/>
  <c r="G193" i="2316"/>
  <c r="F181" i="768"/>
  <c r="F181" i="20994"/>
  <c r="F181" i="2316"/>
  <c r="F80" i="25587"/>
  <c r="F181" i="3584"/>
  <c r="F181" i="25580"/>
  <c r="F181" i="9216"/>
  <c r="F181" i="32"/>
  <c r="F80" i="25586"/>
  <c r="F181" i="1024"/>
  <c r="C169" i="32"/>
  <c r="D170" i="768"/>
  <c r="D170" i="25580"/>
  <c r="D69" i="25587"/>
  <c r="D170" i="1024"/>
  <c r="D170" i="20994"/>
  <c r="D170" i="2316"/>
  <c r="D170" i="9216"/>
  <c r="D170" i="3584"/>
  <c r="D170" i="32"/>
  <c r="D69" i="25586"/>
  <c r="C169" i="2316"/>
  <c r="C169" i="25580"/>
  <c r="C169" i="3584"/>
  <c r="C169" i="1024"/>
  <c r="C169" i="9216"/>
  <c r="C169" i="20994"/>
  <c r="C169" i="768"/>
  <c r="B168" i="2316"/>
  <c r="B168" i="32"/>
  <c r="B168" i="1024"/>
  <c r="B168" i="9216"/>
  <c r="B168" i="20994"/>
  <c r="B168" i="768"/>
  <c r="B169" i="10285"/>
  <c r="B168" i="25580"/>
  <c r="B168" i="3584"/>
  <c r="B67" i="25587"/>
  <c r="B67" i="25586"/>
  <c r="A67" i="25586"/>
  <c r="A67" i="25587" s="1"/>
  <c r="A168" i="25590" s="1"/>
  <c r="A168" i="25588" s="1"/>
  <c r="A168" i="3584" s="1"/>
  <c r="A168" i="4888" s="1"/>
  <c r="A168" i="25580" s="1"/>
  <c r="A169" i="10285" s="1"/>
  <c r="A168" i="768" s="1"/>
  <c r="A168" i="20994" s="1"/>
  <c r="A168" i="9216" s="1"/>
  <c r="A168" i="1024" s="1"/>
  <c r="A168" i="32" s="1"/>
  <c r="A168" i="2316" s="1"/>
  <c r="G192" i="25580" l="1"/>
  <c r="G192" i="9216"/>
  <c r="G192" i="1024"/>
  <c r="G192" i="768"/>
  <c r="G192" i="32"/>
  <c r="G91" i="25586"/>
  <c r="G192" i="3584"/>
  <c r="G192" i="20994"/>
  <c r="G192" i="2316"/>
  <c r="F180" i="1024"/>
  <c r="F79" i="25586"/>
  <c r="F180" i="768"/>
  <c r="F180" i="32"/>
  <c r="F79" i="25587"/>
  <c r="F180" i="20994"/>
  <c r="F180" i="2316"/>
  <c r="F180" i="3584"/>
  <c r="F180" i="25580"/>
  <c r="F180" i="9216"/>
  <c r="D169" i="20994"/>
  <c r="D169" i="768"/>
  <c r="D169" i="25580"/>
  <c r="D169" i="1024"/>
  <c r="D169" i="32"/>
  <c r="C168" i="20994"/>
  <c r="C168" i="2316"/>
  <c r="D169" i="9216"/>
  <c r="D68" i="25586"/>
  <c r="D68" i="25587"/>
  <c r="D169" i="2316"/>
  <c r="D169" i="3584"/>
  <c r="C168" i="32"/>
  <c r="C168" i="1024"/>
  <c r="C168" i="9216"/>
  <c r="C168" i="768"/>
  <c r="C168" i="25580"/>
  <c r="C168" i="3584"/>
  <c r="B167" i="2316" l="1"/>
  <c r="B167" i="32"/>
  <c r="B167" i="1024"/>
  <c r="B167" i="9216"/>
  <c r="B167" i="20994"/>
  <c r="B167" i="768"/>
  <c r="B168" i="10285"/>
  <c r="B167" i="25580"/>
  <c r="B167" i="3584"/>
  <c r="B66" i="25587"/>
  <c r="B66" i="25586"/>
  <c r="A66" i="25586"/>
  <c r="A66" i="25587" s="1"/>
  <c r="A167" i="25590" s="1"/>
  <c r="A167" i="25588" s="1"/>
  <c r="A167" i="3584" s="1"/>
  <c r="A167" i="4888" s="1"/>
  <c r="A167" i="25580" s="1"/>
  <c r="A168" i="10285" s="1"/>
  <c r="A167" i="768" s="1"/>
  <c r="A167" i="20994" s="1"/>
  <c r="A167" i="9216" s="1"/>
  <c r="A167" i="1024" s="1"/>
  <c r="A167" i="32" s="1"/>
  <c r="A167" i="2316" s="1"/>
  <c r="G191" i="25580" l="1"/>
  <c r="G191" i="9216"/>
  <c r="G191" i="1024"/>
  <c r="G90" i="25586"/>
  <c r="G191" i="768"/>
  <c r="G191" i="32"/>
  <c r="G191" i="3584"/>
  <c r="G191" i="20994"/>
  <c r="G191" i="2316"/>
  <c r="F179" i="3584"/>
  <c r="F179" i="768"/>
  <c r="F179" i="1024"/>
  <c r="F179" i="9216"/>
  <c r="F78" i="25586"/>
  <c r="F179" i="32"/>
  <c r="F78" i="25587"/>
  <c r="F179" i="25580"/>
  <c r="F179" i="20994"/>
  <c r="F179" i="2316"/>
  <c r="C167" i="32"/>
  <c r="D168" i="2316"/>
  <c r="D168" i="32"/>
  <c r="C167" i="1024"/>
  <c r="D168" i="1024"/>
  <c r="C167" i="9216"/>
  <c r="D168" i="9216"/>
  <c r="D168" i="20994"/>
  <c r="C167" i="768"/>
  <c r="D168" i="768"/>
  <c r="C167" i="25580"/>
  <c r="D168" i="25580"/>
  <c r="D168" i="3584"/>
  <c r="D67" i="25587"/>
  <c r="D67" i="25586"/>
  <c r="C167" i="2316"/>
  <c r="C167" i="20994"/>
  <c r="C167" i="3584"/>
  <c r="B166" i="2316"/>
  <c r="B166" i="32"/>
  <c r="B166" i="1024"/>
  <c r="B166" i="9216"/>
  <c r="B166" i="20994"/>
  <c r="B166" i="768"/>
  <c r="B167" i="10285"/>
  <c r="B166" i="25580"/>
  <c r="B166" i="3584"/>
  <c r="B65" i="25587"/>
  <c r="B65" i="25586"/>
  <c r="A65" i="25586"/>
  <c r="A65" i="25587" s="1"/>
  <c r="A166" i="25590" s="1"/>
  <c r="A166" i="25588" s="1"/>
  <c r="A166" i="3584" s="1"/>
  <c r="A166" i="4888" s="1"/>
  <c r="A166" i="25580" s="1"/>
  <c r="A167" i="10285" s="1"/>
  <c r="A166" i="768" s="1"/>
  <c r="A166" i="20994" s="1"/>
  <c r="A166" i="9216" s="1"/>
  <c r="A166" i="1024" s="1"/>
  <c r="A166" i="32" s="1"/>
  <c r="A166" i="2316" s="1"/>
  <c r="G190" i="9216" l="1"/>
  <c r="G190" i="1024"/>
  <c r="G190" i="25580"/>
  <c r="G89" i="25586"/>
  <c r="G190" i="768"/>
  <c r="G190" i="32"/>
  <c r="G190" i="3584"/>
  <c r="G190" i="20994"/>
  <c r="G190" i="2316"/>
  <c r="F178" i="768"/>
  <c r="E178" i="768"/>
  <c r="F178" i="1024"/>
  <c r="E178" i="1024"/>
  <c r="F178" i="3584"/>
  <c r="E178" i="3584"/>
  <c r="E178" i="32"/>
  <c r="F178" i="32"/>
  <c r="F178" i="20994"/>
  <c r="E178" i="20994"/>
  <c r="E178" i="2316"/>
  <c r="F178" i="2316"/>
  <c r="E178" i="25580"/>
  <c r="F178" i="25580"/>
  <c r="E178" i="9216"/>
  <c r="F178" i="9216"/>
  <c r="E77" i="25587"/>
  <c r="F77" i="25587"/>
  <c r="E77" i="25586"/>
  <c r="F77" i="25586"/>
  <c r="E177" i="25580"/>
  <c r="E177" i="1024"/>
  <c r="E177" i="768"/>
  <c r="E177" i="32"/>
  <c r="E177" i="3584"/>
  <c r="E177" i="20994"/>
  <c r="E177" i="2316"/>
  <c r="E177" i="9216"/>
  <c r="E76" i="25586"/>
  <c r="E76" i="25587"/>
  <c r="E176" i="1024"/>
  <c r="E176" i="3584"/>
  <c r="E176" i="768"/>
  <c r="E176" i="32"/>
  <c r="E176" i="20994"/>
  <c r="E176" i="2316"/>
  <c r="E176" i="25580"/>
  <c r="E176" i="9216"/>
  <c r="E75" i="25586"/>
  <c r="E75" i="25587"/>
  <c r="E175" i="768"/>
  <c r="E175" i="20994"/>
  <c r="E74" i="25586"/>
  <c r="E175" i="25580"/>
  <c r="E175" i="9216"/>
  <c r="E175" i="3584"/>
  <c r="E175" i="32"/>
  <c r="E175" i="2316"/>
  <c r="E74" i="25587"/>
  <c r="E175" i="1024"/>
  <c r="E174" i="3584"/>
  <c r="E174" i="768"/>
  <c r="E174" i="32"/>
  <c r="E174" i="2316"/>
  <c r="E174" i="20994"/>
  <c r="E174" i="25580"/>
  <c r="E174" i="9216"/>
  <c r="E174" i="1024"/>
  <c r="E73" i="25586"/>
  <c r="E73" i="25587"/>
  <c r="E173" i="768"/>
  <c r="E173" i="32"/>
  <c r="E72" i="25587"/>
  <c r="E173" i="20994"/>
  <c r="E173" i="3584"/>
  <c r="E173" i="2316"/>
  <c r="E72" i="25586"/>
  <c r="E173" i="25580"/>
  <c r="E173" i="9216"/>
  <c r="E173" i="1024"/>
  <c r="E172" i="3584"/>
  <c r="E172" i="768"/>
  <c r="E172" i="32"/>
  <c r="E172" i="20994"/>
  <c r="E172" i="2316"/>
  <c r="E172" i="25580"/>
  <c r="E172" i="9216"/>
  <c r="E172" i="1024"/>
  <c r="E71" i="25586"/>
  <c r="E71" i="25587"/>
  <c r="D167" i="2316"/>
  <c r="E171" i="2316"/>
  <c r="E171" i="32"/>
  <c r="E171" i="1024"/>
  <c r="E171" i="9216"/>
  <c r="E171" i="20994"/>
  <c r="E171" i="768"/>
  <c r="E171" i="25580"/>
  <c r="E171" i="3584"/>
  <c r="E70" i="25586"/>
  <c r="E70" i="25587"/>
  <c r="E170" i="3584"/>
  <c r="E170" i="32"/>
  <c r="E170" i="2316"/>
  <c r="E170" i="25580"/>
  <c r="E170" i="9216"/>
  <c r="E170" i="768"/>
  <c r="E170" i="20994"/>
  <c r="E170" i="1024"/>
  <c r="E69" i="25586"/>
  <c r="E69" i="25587"/>
  <c r="E169" i="2316"/>
  <c r="E169" i="32"/>
  <c r="E169" i="1024"/>
  <c r="E169" i="9216"/>
  <c r="E169" i="20994"/>
  <c r="E169" i="768"/>
  <c r="E169" i="25580"/>
  <c r="E169" i="3584"/>
  <c r="E68" i="25587"/>
  <c r="E68" i="25586"/>
  <c r="E168" i="2316"/>
  <c r="E167" i="32"/>
  <c r="E168" i="32"/>
  <c r="E168" i="1024"/>
  <c r="E167" i="1024"/>
  <c r="E167" i="9216"/>
  <c r="E168" i="9216"/>
  <c r="C166" i="20994"/>
  <c r="E168" i="20994"/>
  <c r="E167" i="768"/>
  <c r="E168" i="768"/>
  <c r="D167" i="768"/>
  <c r="E168" i="25580"/>
  <c r="E167" i="3584"/>
  <c r="E168" i="3584"/>
  <c r="D167" i="3584"/>
  <c r="D66" i="25587"/>
  <c r="E67" i="25587"/>
  <c r="E66" i="25587"/>
  <c r="E66" i="25586"/>
  <c r="E67" i="25586"/>
  <c r="E167" i="2316"/>
  <c r="D167" i="32"/>
  <c r="C166" i="32"/>
  <c r="D167" i="1024"/>
  <c r="D167" i="9216"/>
  <c r="D167" i="20994"/>
  <c r="E167" i="20994"/>
  <c r="D167" i="25580"/>
  <c r="E167" i="25580"/>
  <c r="D66" i="25586"/>
  <c r="C166" i="2316"/>
  <c r="C166" i="1024"/>
  <c r="C166" i="9216"/>
  <c r="C166" i="768"/>
  <c r="C166" i="25580"/>
  <c r="C166" i="3584"/>
  <c r="B165" i="2316"/>
  <c r="B165" i="32"/>
  <c r="B165" i="1024"/>
  <c r="B165" i="9216"/>
  <c r="B165" i="20994"/>
  <c r="B165" i="768"/>
  <c r="B166" i="10285"/>
  <c r="B165" i="25580"/>
  <c r="B165" i="3584"/>
  <c r="B64" i="25587"/>
  <c r="B64" i="25586"/>
  <c r="A64" i="25586"/>
  <c r="A64" i="25587" s="1"/>
  <c r="A165" i="25590" s="1"/>
  <c r="A165" i="25588" s="1"/>
  <c r="A165" i="3584" s="1"/>
  <c r="A165" i="4888" s="1"/>
  <c r="A165" i="25580" s="1"/>
  <c r="A166" i="10285" s="1"/>
  <c r="A165" i="768" s="1"/>
  <c r="A165" i="20994" s="1"/>
  <c r="A165" i="9216" s="1"/>
  <c r="A165" i="1024" s="1"/>
  <c r="A165" i="32" s="1"/>
  <c r="A165" i="2316" s="1"/>
  <c r="G189" i="9216" l="1"/>
  <c r="G189" i="1024"/>
  <c r="G189" i="768"/>
  <c r="G189" i="32"/>
  <c r="G189" i="25580"/>
  <c r="G88" i="25586"/>
  <c r="G189" i="3584"/>
  <c r="G189" i="20994"/>
  <c r="G189" i="2316"/>
  <c r="F177" i="20994"/>
  <c r="F177" i="2316"/>
  <c r="F177" i="3584"/>
  <c r="F177" i="32"/>
  <c r="F177" i="25580"/>
  <c r="F177" i="9216"/>
  <c r="F177" i="768"/>
  <c r="F177" i="1024"/>
  <c r="F76" i="25587"/>
  <c r="F76" i="25586"/>
  <c r="D166" i="1024"/>
  <c r="D166" i="9216"/>
  <c r="D166" i="3584"/>
  <c r="D65" i="25586"/>
  <c r="D166" i="2316"/>
  <c r="D166" i="32"/>
  <c r="D166" i="20994"/>
  <c r="D166" i="768"/>
  <c r="D166" i="25580"/>
  <c r="D65" i="25587"/>
  <c r="C165" i="3584"/>
  <c r="C165" i="2316"/>
  <c r="C165" i="32"/>
  <c r="C165" i="1024"/>
  <c r="C165" i="9216"/>
  <c r="C165" i="20994"/>
  <c r="C165" i="768"/>
  <c r="C165" i="25580"/>
  <c r="B164" i="2316"/>
  <c r="B164" i="32"/>
  <c r="B164" i="1024"/>
  <c r="B164" i="9216"/>
  <c r="B164" i="20994"/>
  <c r="B164" i="768"/>
  <c r="B165" i="10285"/>
  <c r="B164" i="25580"/>
  <c r="B164" i="3584"/>
  <c r="B63" i="25587"/>
  <c r="B63" i="25586"/>
  <c r="A63" i="25586"/>
  <c r="A63" i="25587" s="1"/>
  <c r="A164" i="25590" s="1"/>
  <c r="A164" i="25588" s="1"/>
  <c r="A164" i="3584" s="1"/>
  <c r="A164" i="4888" s="1"/>
  <c r="A164" i="25580" s="1"/>
  <c r="A165" i="10285" s="1"/>
  <c r="A164" i="768" s="1"/>
  <c r="A164" i="20994" s="1"/>
  <c r="A164" i="9216" s="1"/>
  <c r="A164" i="1024" s="1"/>
  <c r="A164" i="32" s="1"/>
  <c r="A164" i="2316" s="1"/>
  <c r="G188" i="3584" l="1"/>
  <c r="G188" i="20994"/>
  <c r="G188" i="25580"/>
  <c r="G188" i="9216"/>
  <c r="G87" i="25586"/>
  <c r="G188" i="1024"/>
  <c r="G188" i="32"/>
  <c r="G188" i="768"/>
  <c r="G188" i="2316"/>
  <c r="F176" i="1024"/>
  <c r="F176" i="20994"/>
  <c r="F176" i="2316"/>
  <c r="F176" i="25580"/>
  <c r="F176" i="9216"/>
  <c r="F176" i="3584"/>
  <c r="F176" i="768"/>
  <c r="F176" i="32"/>
  <c r="F75" i="25586"/>
  <c r="F75" i="25587"/>
  <c r="C164" i="2316"/>
  <c r="C164" i="32"/>
  <c r="D165" i="1024"/>
  <c r="D165" i="768"/>
  <c r="C164" i="25580"/>
  <c r="D64" i="25587"/>
  <c r="D64" i="25586"/>
  <c r="D165" i="2316"/>
  <c r="D165" i="32"/>
  <c r="D165" i="9216"/>
  <c r="D165" i="20994"/>
  <c r="C164" i="768"/>
  <c r="D165" i="25580"/>
  <c r="D165" i="3584"/>
  <c r="C164" i="3584"/>
  <c r="C164" i="1024"/>
  <c r="C164" i="20994"/>
  <c r="C164" i="9216"/>
  <c r="B163" i="2316"/>
  <c r="B163" i="32"/>
  <c r="B163" i="1024"/>
  <c r="B163" i="9216"/>
  <c r="B163" i="20994"/>
  <c r="B163" i="768"/>
  <c r="B164" i="10285"/>
  <c r="B163" i="25580"/>
  <c r="B163" i="3584"/>
  <c r="B61" i="25587"/>
  <c r="B62" i="25587"/>
  <c r="B62" i="25586"/>
  <c r="A62" i="25586"/>
  <c r="A62" i="25587" s="1"/>
  <c r="A163" i="25590" s="1"/>
  <c r="A163" i="25588" s="1"/>
  <c r="A163" i="3584" s="1"/>
  <c r="A163" i="4888" s="1"/>
  <c r="A163" i="25580" s="1"/>
  <c r="A164" i="10285" s="1"/>
  <c r="A163" i="768" s="1"/>
  <c r="A163" i="20994" s="1"/>
  <c r="A163" i="9216" s="1"/>
  <c r="A163" i="1024" s="1"/>
  <c r="A163" i="32" s="1"/>
  <c r="A163" i="2316" s="1"/>
  <c r="G86" i="25586" l="1"/>
  <c r="G187" i="25580"/>
  <c r="G187" i="9216"/>
  <c r="G187" i="1024"/>
  <c r="G187" i="768"/>
  <c r="G187" i="32"/>
  <c r="G187" i="3584"/>
  <c r="G187" i="20994"/>
  <c r="G187" i="2316"/>
  <c r="F74" i="25586"/>
  <c r="F175" i="20994"/>
  <c r="F175" i="2316"/>
  <c r="F74" i="25587"/>
  <c r="F175" i="25580"/>
  <c r="F175" i="9216"/>
  <c r="F175" i="1024"/>
  <c r="F175" i="3584"/>
  <c r="F175" i="768"/>
  <c r="F175" i="32"/>
  <c r="F73" i="25587"/>
  <c r="D164" i="768"/>
  <c r="C163" i="25580"/>
  <c r="D164" i="3584"/>
  <c r="C163" i="9216"/>
  <c r="C163" i="1024"/>
  <c r="D164" i="25580"/>
  <c r="D164" i="32"/>
  <c r="C163" i="2316"/>
  <c r="D164" i="2316"/>
  <c r="C163" i="3584"/>
  <c r="C163" i="20994"/>
  <c r="D164" i="20994"/>
  <c r="D164" i="1024"/>
  <c r="D164" i="9216"/>
  <c r="D63" i="25587"/>
  <c r="D63" i="25586"/>
  <c r="C163" i="32"/>
  <c r="C163" i="768"/>
  <c r="D62" i="25587"/>
  <c r="B162" i="2316"/>
  <c r="B162" i="32"/>
  <c r="B162" i="1024"/>
  <c r="B162" i="9216"/>
  <c r="B162" i="20994"/>
  <c r="B162" i="768"/>
  <c r="B163" i="10285"/>
  <c r="B162" i="25580"/>
  <c r="B162" i="3584"/>
  <c r="B61" i="25586"/>
  <c r="A61" i="25586"/>
  <c r="A61" i="25587" s="1"/>
  <c r="A162" i="25590" s="1"/>
  <c r="A162" i="25588" s="1"/>
  <c r="A162" i="3584" s="1"/>
  <c r="A162" i="4888" s="1"/>
  <c r="A162" i="25580" s="1"/>
  <c r="A163" i="10285" s="1"/>
  <c r="A162" i="768" s="1"/>
  <c r="A162" i="20994" s="1"/>
  <c r="A162" i="9216" s="1"/>
  <c r="A162" i="1024" s="1"/>
  <c r="A162" i="32" s="1"/>
  <c r="A162" i="2316" s="1"/>
  <c r="G186" i="768" l="1"/>
  <c r="G186" i="32"/>
  <c r="G85" i="25586"/>
  <c r="G186" i="2316"/>
  <c r="G186" i="3584"/>
  <c r="G186" i="20994"/>
  <c r="G186" i="25580"/>
  <c r="G186" i="9216"/>
  <c r="G186" i="1024"/>
  <c r="F174" i="32"/>
  <c r="F174" i="20994"/>
  <c r="F174" i="2316"/>
  <c r="F174" i="3584"/>
  <c r="F174" i="25580"/>
  <c r="F174" i="9216"/>
  <c r="F174" i="768"/>
  <c r="F174" i="1024"/>
  <c r="F73" i="25586"/>
  <c r="C162" i="2316"/>
  <c r="C162" i="32"/>
  <c r="C162" i="9216"/>
  <c r="D163" i="20994"/>
  <c r="D163" i="3584"/>
  <c r="D62" i="25586"/>
  <c r="D163" i="2316"/>
  <c r="D163" i="32"/>
  <c r="D163" i="1024"/>
  <c r="D163" i="9216"/>
  <c r="C162" i="20994"/>
  <c r="D163" i="768"/>
  <c r="D163" i="25580"/>
  <c r="C162" i="1024"/>
  <c r="C162" i="768"/>
  <c r="C162" i="25580"/>
  <c r="C162" i="3584"/>
  <c r="B160" i="2316"/>
  <c r="B161" i="2316"/>
  <c r="B160" i="32"/>
  <c r="B161" i="32"/>
  <c r="B160" i="1024"/>
  <c r="B161" i="1024"/>
  <c r="B160" i="9216"/>
  <c r="B161" i="9216"/>
  <c r="B160" i="20994"/>
  <c r="B161" i="20994"/>
  <c r="B160" i="768"/>
  <c r="B161" i="768"/>
  <c r="B161" i="10285"/>
  <c r="B162" i="10285"/>
  <c r="B160" i="25580"/>
  <c r="B161" i="25580"/>
  <c r="B160" i="3584"/>
  <c r="G185" i="768" l="1"/>
  <c r="G185" i="20994"/>
  <c r="G185" i="1024"/>
  <c r="G185" i="2316"/>
  <c r="G185" i="25580"/>
  <c r="G185" i="9216"/>
  <c r="G185" i="32"/>
  <c r="G184" i="20994"/>
  <c r="G184" i="1024"/>
  <c r="G184" i="2316"/>
  <c r="G184" i="25580"/>
  <c r="G184" i="768"/>
  <c r="G184" i="9216"/>
  <c r="G184" i="32"/>
  <c r="F173" i="20994"/>
  <c r="F173" i="1024"/>
  <c r="F173" i="2316"/>
  <c r="F173" i="25580"/>
  <c r="F173" i="768"/>
  <c r="F173" i="9216"/>
  <c r="F173" i="32"/>
  <c r="F172" i="3584"/>
  <c r="F172" i="20994"/>
  <c r="F172" i="2316"/>
  <c r="F172" i="1024"/>
  <c r="F172" i="25580"/>
  <c r="F172" i="768"/>
  <c r="F172" i="9216"/>
  <c r="F172" i="32"/>
  <c r="D162" i="2316"/>
  <c r="C161" i="1024"/>
  <c r="D162" i="9216"/>
  <c r="C161" i="768"/>
  <c r="D161" i="25580"/>
  <c r="C161" i="32"/>
  <c r="D162" i="32"/>
  <c r="D162" i="1024"/>
  <c r="D162" i="20994"/>
  <c r="D161" i="20994"/>
  <c r="D162" i="768"/>
  <c r="D162" i="25580"/>
  <c r="C161" i="9216"/>
  <c r="C161" i="25580"/>
  <c r="C161" i="2316"/>
  <c r="C161" i="20994"/>
  <c r="D161" i="2316"/>
  <c r="D161" i="32"/>
  <c r="D161" i="1024"/>
  <c r="D161" i="9216"/>
  <c r="D161" i="768"/>
  <c r="B60" i="25587" l="1"/>
  <c r="B60" i="25586"/>
  <c r="A60" i="25586"/>
  <c r="A60" i="25587" s="1"/>
  <c r="A161" i="25590" s="1"/>
  <c r="A161" i="25588" s="1"/>
  <c r="A161" i="3584" s="1"/>
  <c r="A161" i="4888" s="1"/>
  <c r="A161" i="25580" s="1"/>
  <c r="A162" i="10285" s="1"/>
  <c r="A161" i="768" s="1"/>
  <c r="A161" i="20994" s="1"/>
  <c r="A161" i="9216" s="1"/>
  <c r="A161" i="1024" s="1"/>
  <c r="A161" i="32" s="1"/>
  <c r="A161" i="2316" s="1"/>
  <c r="G84" i="25586" l="1"/>
  <c r="F72" i="25586"/>
  <c r="F72" i="25587"/>
  <c r="D61" i="25586"/>
  <c r="D61" i="25587"/>
  <c r="C160" i="1024"/>
  <c r="C160" i="9216"/>
  <c r="B58" i="25587"/>
  <c r="B59" i="25587"/>
  <c r="B59" i="25586"/>
  <c r="A59" i="25586"/>
  <c r="A59" i="25587" s="1"/>
  <c r="A160" i="25590" s="1"/>
  <c r="A160" i="25588" s="1"/>
  <c r="A160" i="3584" s="1"/>
  <c r="A160" i="4888" s="1"/>
  <c r="A160" i="25580" s="1"/>
  <c r="A161" i="10285" s="1"/>
  <c r="A160" i="768" s="1"/>
  <c r="A160" i="20994" s="1"/>
  <c r="A160" i="9216" s="1"/>
  <c r="A160" i="1024" s="1"/>
  <c r="A160" i="32" s="1"/>
  <c r="A160" i="2316" s="1"/>
  <c r="G83" i="25586" l="1"/>
  <c r="F71" i="25586"/>
  <c r="F71" i="25587"/>
  <c r="F70" i="25587"/>
  <c r="C160" i="2316"/>
  <c r="C160" i="25580"/>
  <c r="C160" i="20994"/>
  <c r="D60" i="25586"/>
  <c r="D59" i="25587"/>
  <c r="D60" i="25587"/>
  <c r="C160" i="768"/>
  <c r="B159" i="2316"/>
  <c r="B159" i="32"/>
  <c r="B159" i="1024"/>
  <c r="B159" i="9216"/>
  <c r="B158" i="9216"/>
  <c r="B157" i="9216"/>
  <c r="B156" i="9216"/>
  <c r="B155" i="9216"/>
  <c r="B159" i="20994"/>
  <c r="B159" i="768"/>
  <c r="B160" i="10285"/>
  <c r="B159" i="25580"/>
  <c r="B159" i="3584"/>
  <c r="B58" i="25586"/>
  <c r="A58" i="25586"/>
  <c r="A58" i="25587" s="1"/>
  <c r="A159" i="25590" s="1"/>
  <c r="A159" i="25588" s="1"/>
  <c r="A159" i="3584" s="1"/>
  <c r="A159" i="4888" s="1"/>
  <c r="A159" i="25580" s="1"/>
  <c r="A160" i="10285" s="1"/>
  <c r="A159" i="768" s="1"/>
  <c r="A159" i="20994" s="1"/>
  <c r="A159" i="9216" s="1"/>
  <c r="A159" i="1024" s="1"/>
  <c r="A159" i="32" s="1"/>
  <c r="A159" i="2316" s="1"/>
  <c r="B158" i="2316"/>
  <c r="B157" i="2316"/>
  <c r="B158" i="32"/>
  <c r="B157" i="32"/>
  <c r="B158" i="1024"/>
  <c r="B157" i="1024"/>
  <c r="B158" i="25580"/>
  <c r="B159" i="10285"/>
  <c r="B158" i="768"/>
  <c r="B158" i="20994"/>
  <c r="B157" i="20994"/>
  <c r="B157" i="768"/>
  <c r="B158" i="10285"/>
  <c r="B157" i="25580"/>
  <c r="B158" i="3584"/>
  <c r="B157" i="3584"/>
  <c r="B57" i="25587"/>
  <c r="B57" i="25586"/>
  <c r="A57" i="25586"/>
  <c r="A57" i="25587" s="1"/>
  <c r="A158" i="25590" s="1"/>
  <c r="A158" i="25588" s="1"/>
  <c r="A158" i="3584" s="1"/>
  <c r="A158" i="4888" s="1"/>
  <c r="A158" i="25580" s="1"/>
  <c r="A159" i="10285" s="1"/>
  <c r="A158" i="768" s="1"/>
  <c r="A158" i="20994" s="1"/>
  <c r="A158" i="9216" s="1"/>
  <c r="A158" i="1024" s="1"/>
  <c r="A158" i="32" s="1"/>
  <c r="A158" i="2316" s="1"/>
  <c r="B56" i="25587"/>
  <c r="B56" i="25586"/>
  <c r="A56" i="25586"/>
  <c r="A56" i="25587" s="1"/>
  <c r="A157" i="25590" s="1"/>
  <c r="A157" i="25588" s="1"/>
  <c r="A157" i="3584" s="1"/>
  <c r="A157" i="4888" s="1"/>
  <c r="A157" i="25580" s="1"/>
  <c r="A158" i="10285" s="1"/>
  <c r="A157" i="768" s="1"/>
  <c r="A157" i="20994" s="1"/>
  <c r="A157" i="9216" s="1"/>
  <c r="A157" i="1024" s="1"/>
  <c r="A157" i="32" s="1"/>
  <c r="A157" i="2316" s="1"/>
  <c r="B156" i="2316"/>
  <c r="B156" i="32"/>
  <c r="B156" i="1024"/>
  <c r="B156" i="20994"/>
  <c r="B156" i="768"/>
  <c r="B157" i="10285"/>
  <c r="B156" i="25580"/>
  <c r="B156" i="3584"/>
  <c r="B55" i="25587"/>
  <c r="B55" i="25586"/>
  <c r="A55" i="25586"/>
  <c r="A55" i="25587" s="1"/>
  <c r="A156" i="25590" s="1"/>
  <c r="A156" i="25588" s="1"/>
  <c r="A156" i="3584" s="1"/>
  <c r="A156" i="4888" s="1"/>
  <c r="A156" i="25580" s="1"/>
  <c r="A157" i="10285" s="1"/>
  <c r="A156" i="768" s="1"/>
  <c r="A156" i="20994" s="1"/>
  <c r="A156" i="9216" s="1"/>
  <c r="A156" i="1024" s="1"/>
  <c r="A156" i="32" s="1"/>
  <c r="A156" i="2316" s="1"/>
  <c r="B155" i="2316"/>
  <c r="B155" i="32"/>
  <c r="B155" i="1024"/>
  <c r="B155" i="20994"/>
  <c r="B155" i="768"/>
  <c r="B156" i="10285"/>
  <c r="B155" i="25580"/>
  <c r="B155" i="3584"/>
  <c r="B54" i="25587"/>
  <c r="B54" i="25586"/>
  <c r="A54" i="25586"/>
  <c r="A54" i="25587" s="1"/>
  <c r="A155" i="25590" s="1"/>
  <c r="A155" i="25588" s="1"/>
  <c r="A155" i="3584" s="1"/>
  <c r="A155" i="4888" s="1"/>
  <c r="A155" i="25580" s="1"/>
  <c r="A156" i="10285" s="1"/>
  <c r="A155" i="768" s="1"/>
  <c r="A155" i="20994" s="1"/>
  <c r="A155" i="9216" s="1"/>
  <c r="A155" i="1024" s="1"/>
  <c r="A155" i="32" s="1"/>
  <c r="A155" i="2316" s="1"/>
  <c r="B154" i="2316"/>
  <c r="B154" i="32"/>
  <c r="B154" i="1024"/>
  <c r="B154" i="9216"/>
  <c r="B154" i="20994"/>
  <c r="B154" i="768"/>
  <c r="B155" i="10285"/>
  <c r="B154" i="25580"/>
  <c r="B154" i="3584"/>
  <c r="B53" i="25587"/>
  <c r="B53" i="25586"/>
  <c r="A53" i="25586"/>
  <c r="A53" i="25587" s="1"/>
  <c r="A154" i="25590" s="1"/>
  <c r="A154" i="25588" s="1"/>
  <c r="A154" i="3584" s="1"/>
  <c r="A154" i="4888" s="1"/>
  <c r="A154" i="25580" s="1"/>
  <c r="A155" i="10285" s="1"/>
  <c r="A154" i="768" s="1"/>
  <c r="A154" i="20994" s="1"/>
  <c r="A154" i="9216" s="1"/>
  <c r="A154" i="1024" s="1"/>
  <c r="A154" i="32" s="1"/>
  <c r="A154" i="2316" s="1"/>
  <c r="B153" i="2316"/>
  <c r="B153" i="32"/>
  <c r="B153" i="1024"/>
  <c r="B153" i="9216"/>
  <c r="B153" i="20994"/>
  <c r="B153" i="768"/>
  <c r="B154" i="10285"/>
  <c r="B153" i="25580"/>
  <c r="B153" i="3584"/>
  <c r="B52" i="25587"/>
  <c r="B52" i="25586"/>
  <c r="A52" i="25586"/>
  <c r="A52" i="25587" s="1"/>
  <c r="A153" i="25590" s="1"/>
  <c r="A153" i="25588" s="1"/>
  <c r="A153" i="3584" s="1"/>
  <c r="A153" i="4888" s="1"/>
  <c r="A153" i="25580" s="1"/>
  <c r="A154" i="10285" s="1"/>
  <c r="A153" i="768" s="1"/>
  <c r="A153" i="20994" s="1"/>
  <c r="A153" i="9216" s="1"/>
  <c r="A153" i="1024" s="1"/>
  <c r="A153" i="32" s="1"/>
  <c r="A153" i="2316" s="1"/>
  <c r="B152" i="2316"/>
  <c r="B152" i="32"/>
  <c r="B152" i="1024"/>
  <c r="B152" i="9216"/>
  <c r="B152" i="20994"/>
  <c r="B152" i="768"/>
  <c r="B153" i="10285"/>
  <c r="B152" i="25580"/>
  <c r="B152" i="3584"/>
  <c r="B112" i="25588"/>
  <c r="B111" i="25588"/>
  <c r="B110" i="25588"/>
  <c r="B109" i="25588"/>
  <c r="B108" i="25588"/>
  <c r="B107" i="25588"/>
  <c r="B106" i="25588"/>
  <c r="B105" i="25588"/>
  <c r="B104" i="25588"/>
  <c r="B103" i="25588"/>
  <c r="B102" i="25588"/>
  <c r="B101" i="25588"/>
  <c r="B100" i="25588"/>
  <c r="B99" i="25588"/>
  <c r="B98" i="25588"/>
  <c r="B97" i="25588"/>
  <c r="B96" i="25588"/>
  <c r="B95" i="25588"/>
  <c r="B94" i="25588"/>
  <c r="B93" i="25588"/>
  <c r="B92" i="25588"/>
  <c r="B91" i="25588"/>
  <c r="B90" i="25588"/>
  <c r="B89" i="25588"/>
  <c r="B88" i="25588"/>
  <c r="B87" i="25588"/>
  <c r="B86" i="25588"/>
  <c r="B85" i="25588"/>
  <c r="B84" i="25588"/>
  <c r="B83" i="25588"/>
  <c r="B82" i="25588"/>
  <c r="B81" i="25588"/>
  <c r="B80" i="25588"/>
  <c r="B79" i="25588"/>
  <c r="B78" i="25588"/>
  <c r="B77" i="25588"/>
  <c r="B76" i="25588"/>
  <c r="B75" i="25588"/>
  <c r="B74" i="25588"/>
  <c r="B73" i="25588"/>
  <c r="B72" i="25588"/>
  <c r="B71" i="25588"/>
  <c r="B70" i="25588"/>
  <c r="B69" i="25588"/>
  <c r="B68" i="25588"/>
  <c r="B67" i="25588"/>
  <c r="B66" i="25588"/>
  <c r="B65" i="25588"/>
  <c r="B64" i="25588"/>
  <c r="B63" i="25588"/>
  <c r="B62" i="25588"/>
  <c r="B61" i="25588"/>
  <c r="B60" i="25588"/>
  <c r="B59" i="25588"/>
  <c r="B58" i="25588"/>
  <c r="B57" i="25588"/>
  <c r="B56" i="25588"/>
  <c r="B55" i="25588"/>
  <c r="B54" i="25588"/>
  <c r="B53" i="25588"/>
  <c r="B52" i="25588"/>
  <c r="B51" i="25588"/>
  <c r="B50" i="25588"/>
  <c r="B49" i="25588"/>
  <c r="B48" i="25588"/>
  <c r="B47" i="25588"/>
  <c r="B46" i="25588"/>
  <c r="B45" i="25588"/>
  <c r="B44" i="25588"/>
  <c r="B43" i="25588"/>
  <c r="B42" i="25588"/>
  <c r="B41" i="25588"/>
  <c r="B40" i="25588"/>
  <c r="B39" i="25588"/>
  <c r="B38" i="25588"/>
  <c r="B37" i="25588"/>
  <c r="B36" i="25588"/>
  <c r="B35" i="25588"/>
  <c r="B34" i="25588"/>
  <c r="B33" i="25588"/>
  <c r="B32" i="25588"/>
  <c r="B31" i="25588"/>
  <c r="B30" i="25588"/>
  <c r="B29" i="25588"/>
  <c r="B28" i="25588"/>
  <c r="B27" i="25588"/>
  <c r="B26" i="25588"/>
  <c r="B25" i="25588"/>
  <c r="B24" i="25588"/>
  <c r="B23" i="25588"/>
  <c r="B22" i="25588"/>
  <c r="B21" i="25588"/>
  <c r="B20" i="25588"/>
  <c r="B19" i="25588"/>
  <c r="B18" i="25588"/>
  <c r="B17" i="25588"/>
  <c r="B16" i="25588"/>
  <c r="B15" i="25588"/>
  <c r="B14" i="25588"/>
  <c r="B13" i="25588"/>
  <c r="B12" i="25588"/>
  <c r="B11" i="25588"/>
  <c r="B10" i="25588"/>
  <c r="B9" i="25588"/>
  <c r="B8" i="25588"/>
  <c r="B51" i="25587"/>
  <c r="B51" i="25586"/>
  <c r="A51" i="25586"/>
  <c r="A51" i="25587" s="1"/>
  <c r="A152" i="25590" s="1"/>
  <c r="A152" i="25588" s="1"/>
  <c r="A152" i="3584" s="1"/>
  <c r="A152" i="4888" s="1"/>
  <c r="A152" i="25580" s="1"/>
  <c r="A153" i="10285" s="1"/>
  <c r="A152" i="768" s="1"/>
  <c r="A152" i="20994" s="1"/>
  <c r="A152" i="9216" s="1"/>
  <c r="A152" i="1024" s="1"/>
  <c r="A152" i="32" s="1"/>
  <c r="A152" i="2316" s="1"/>
  <c r="B112" i="25590"/>
  <c r="B111" i="25590"/>
  <c r="B110" i="25590"/>
  <c r="B109" i="25590"/>
  <c r="B108" i="25590"/>
  <c r="B107" i="25590"/>
  <c r="B106" i="25590"/>
  <c r="B105" i="25590"/>
  <c r="B104" i="25590"/>
  <c r="B103" i="25590"/>
  <c r="B102" i="25590"/>
  <c r="B101" i="25590"/>
  <c r="B100" i="25590"/>
  <c r="B99" i="25590"/>
  <c r="B98" i="25590"/>
  <c r="B97" i="25590"/>
  <c r="B96" i="25590"/>
  <c r="B95" i="25590"/>
  <c r="B94" i="25590"/>
  <c r="B93" i="25590"/>
  <c r="B92" i="25590"/>
  <c r="B91" i="25590"/>
  <c r="B90" i="25590"/>
  <c r="B89" i="25590"/>
  <c r="B88" i="25590"/>
  <c r="B87" i="25590"/>
  <c r="B86" i="25590"/>
  <c r="B85" i="25590"/>
  <c r="B84" i="25590"/>
  <c r="B83" i="25590"/>
  <c r="B82" i="25590"/>
  <c r="B81" i="25590"/>
  <c r="B80" i="25590"/>
  <c r="B79" i="25590"/>
  <c r="B78" i="25590"/>
  <c r="B77" i="25590"/>
  <c r="B76" i="25590"/>
  <c r="B75" i="25590"/>
  <c r="B74" i="25590"/>
  <c r="B73" i="25590"/>
  <c r="B72" i="25590"/>
  <c r="B71" i="25590"/>
  <c r="B70" i="25590"/>
  <c r="B69" i="25590"/>
  <c r="B68" i="25590"/>
  <c r="B67" i="25590"/>
  <c r="B66" i="25590"/>
  <c r="B65" i="25590"/>
  <c r="B64" i="25590"/>
  <c r="B63" i="25590"/>
  <c r="B62" i="25590"/>
  <c r="B61" i="25590"/>
  <c r="B60" i="25590"/>
  <c r="B59" i="25590"/>
  <c r="B58" i="25590"/>
  <c r="B57" i="25590"/>
  <c r="B56" i="25590"/>
  <c r="B55" i="25590"/>
  <c r="B54" i="25590"/>
  <c r="B53" i="25590"/>
  <c r="B52" i="25590"/>
  <c r="B51" i="25590"/>
  <c r="B50" i="25590"/>
  <c r="B49" i="25590"/>
  <c r="B48" i="25590"/>
  <c r="B47" i="25590"/>
  <c r="B46" i="25590"/>
  <c r="B45" i="25590"/>
  <c r="B44" i="25590"/>
  <c r="B43" i="25590"/>
  <c r="B42" i="25590"/>
  <c r="B41" i="25590"/>
  <c r="B40" i="25590"/>
  <c r="B39" i="25590"/>
  <c r="B38" i="25590"/>
  <c r="B37" i="25590"/>
  <c r="B36" i="25590"/>
  <c r="B35" i="25590"/>
  <c r="B34" i="25590"/>
  <c r="B33" i="25590"/>
  <c r="B32" i="25590"/>
  <c r="B31" i="25590"/>
  <c r="B30" i="25590"/>
  <c r="B29" i="25590"/>
  <c r="B28" i="25590"/>
  <c r="B27" i="25590"/>
  <c r="B26" i="25590"/>
  <c r="B25" i="25590"/>
  <c r="B24" i="25590"/>
  <c r="B23" i="25590"/>
  <c r="B22" i="25590"/>
  <c r="B21" i="25590"/>
  <c r="B20" i="25590"/>
  <c r="B19" i="25590"/>
  <c r="B18" i="25590"/>
  <c r="B17" i="25590"/>
  <c r="B16" i="25590"/>
  <c r="B15" i="25590"/>
  <c r="B14" i="25590"/>
  <c r="B13" i="25590"/>
  <c r="B12" i="25590"/>
  <c r="B11" i="25590"/>
  <c r="B10" i="25590"/>
  <c r="B9" i="25590"/>
  <c r="B8" i="25590"/>
  <c r="B151" i="2316"/>
  <c r="B151" i="32"/>
  <c r="B151" i="1024"/>
  <c r="B151" i="9216"/>
  <c r="B151" i="20994"/>
  <c r="B151" i="768"/>
  <c r="B152" i="10285"/>
  <c r="B151" i="25580"/>
  <c r="B151" i="3584"/>
  <c r="B50" i="25587"/>
  <c r="B50" i="25586"/>
  <c r="A50" i="25586"/>
  <c r="A50" i="25587" s="1"/>
  <c r="A151" i="25590" s="1"/>
  <c r="A151" i="25588" s="1"/>
  <c r="A151" i="3584" s="1"/>
  <c r="A151" i="4888" s="1"/>
  <c r="A151" i="25580" s="1"/>
  <c r="A152" i="10285" s="1"/>
  <c r="A151" i="768" s="1"/>
  <c r="A151" i="20994" s="1"/>
  <c r="A151" i="9216" s="1"/>
  <c r="A151" i="1024" s="1"/>
  <c r="A151" i="32" s="1"/>
  <c r="A151" i="2316" s="1"/>
  <c r="A49" i="25586"/>
  <c r="A49" i="25587" s="1"/>
  <c r="A150" i="25590" s="1"/>
  <c r="A150" i="25588" s="1"/>
  <c r="A150" i="3584" s="1"/>
  <c r="A150" i="4888" s="1"/>
  <c r="A150" i="25580" s="1"/>
  <c r="A151" i="10285" s="1"/>
  <c r="A150" i="768" s="1"/>
  <c r="A150" i="20994" s="1"/>
  <c r="A150" i="9216" s="1"/>
  <c r="A150" i="1024" s="1"/>
  <c r="A150" i="32" s="1"/>
  <c r="A150" i="2316" s="1"/>
  <c r="B150" i="2316"/>
  <c r="B150" i="32"/>
  <c r="B150" i="1024"/>
  <c r="B150" i="9216"/>
  <c r="B150" i="20994"/>
  <c r="B150" i="768"/>
  <c r="B151" i="10285"/>
  <c r="B150" i="25580"/>
  <c r="B150" i="3584"/>
  <c r="B49" i="25587"/>
  <c r="B49" i="25586"/>
  <c r="B149" i="2316"/>
  <c r="B149" i="32"/>
  <c r="B149" i="1024"/>
  <c r="B149" i="9216"/>
  <c r="B149" i="20994"/>
  <c r="B149" i="768"/>
  <c r="B150" i="10285"/>
  <c r="B149" i="25580"/>
  <c r="B149" i="3584"/>
  <c r="B48" i="25587"/>
  <c r="B48" i="25586"/>
  <c r="B119" i="3584"/>
  <c r="B148" i="2316"/>
  <c r="B148" i="32"/>
  <c r="B148" i="1024"/>
  <c r="B148" i="9216"/>
  <c r="B148" i="20994"/>
  <c r="B148" i="768"/>
  <c r="B149" i="10285"/>
  <c r="B148" i="25580"/>
  <c r="B148" i="3584"/>
  <c r="B47" i="25587"/>
  <c r="B47" i="25586"/>
  <c r="B147" i="2316"/>
  <c r="B147" i="32"/>
  <c r="B147" i="1024"/>
  <c r="B147" i="9216"/>
  <c r="B147" i="20994"/>
  <c r="B147" i="768"/>
  <c r="B148" i="10285"/>
  <c r="B147" i="25580"/>
  <c r="B147" i="3584"/>
  <c r="B46" i="25587"/>
  <c r="B46" i="25586"/>
  <c r="B146" i="2316"/>
  <c r="B146" i="32"/>
  <c r="B146" i="1024"/>
  <c r="B146" i="9216"/>
  <c r="B146" i="20994"/>
  <c r="B146" i="768"/>
  <c r="B147" i="10285"/>
  <c r="B146" i="25580"/>
  <c r="B146" i="3584"/>
  <c r="B45" i="25587"/>
  <c r="B45" i="25586"/>
  <c r="B145" i="2316"/>
  <c r="B145" i="32"/>
  <c r="B145" i="1024"/>
  <c r="B145" i="9216"/>
  <c r="B145" i="20994"/>
  <c r="B145" i="768"/>
  <c r="B146" i="10285"/>
  <c r="B145" i="25580"/>
  <c r="B145" i="3584"/>
  <c r="B44" i="25587"/>
  <c r="B44" i="25586"/>
  <c r="B144" i="2316"/>
  <c r="B144" i="32"/>
  <c r="B144" i="1024"/>
  <c r="B144" i="9216"/>
  <c r="B144" i="20994"/>
  <c r="B144" i="768"/>
  <c r="B145" i="10285"/>
  <c r="B144" i="25580"/>
  <c r="B144" i="3584"/>
  <c r="B43" i="25587"/>
  <c r="B43" i="25586"/>
  <c r="B143" i="2316"/>
  <c r="B143" i="32"/>
  <c r="B143" i="1024"/>
  <c r="B143" i="9216"/>
  <c r="B143" i="20994"/>
  <c r="B143" i="768"/>
  <c r="B144" i="10285"/>
  <c r="B143" i="25580"/>
  <c r="B143" i="3584"/>
  <c r="B42" i="25587"/>
  <c r="B42" i="25586"/>
  <c r="B142" i="2316"/>
  <c r="B142" i="32"/>
  <c r="B142" i="1024"/>
  <c r="B142" i="9216"/>
  <c r="B142" i="20994"/>
  <c r="B142" i="768"/>
  <c r="B143" i="10285"/>
  <c r="B142" i="25580"/>
  <c r="B142" i="3584"/>
  <c r="B41" i="25587"/>
  <c r="B41" i="25586"/>
  <c r="B141" i="2316"/>
  <c r="B141" i="32"/>
  <c r="B141" i="1024"/>
  <c r="B141" i="9216"/>
  <c r="B141" i="20994"/>
  <c r="B141" i="768"/>
  <c r="B142" i="10285"/>
  <c r="B141" i="25580"/>
  <c r="B141" i="3584"/>
  <c r="B40" i="25587"/>
  <c r="B40" i="25586"/>
  <c r="B140" i="2316"/>
  <c r="B140" i="32"/>
  <c r="B140" i="1024"/>
  <c r="B140" i="9216"/>
  <c r="B140" i="20994"/>
  <c r="B140" i="768"/>
  <c r="B141" i="10285"/>
  <c r="B140" i="25580"/>
  <c r="B140" i="3584"/>
  <c r="B39" i="25587"/>
  <c r="B39" i="25586"/>
  <c r="B139" i="2316"/>
  <c r="B139" i="32"/>
  <c r="B139" i="1024"/>
  <c r="B139" i="9216"/>
  <c r="B139" i="20994"/>
  <c r="B139" i="768"/>
  <c r="B140" i="10285"/>
  <c r="B139" i="25580"/>
  <c r="B139" i="3584"/>
  <c r="B38" i="25587"/>
  <c r="B38" i="25586"/>
  <c r="B138" i="2316"/>
  <c r="B138" i="32"/>
  <c r="B138" i="1024"/>
  <c r="B138" i="9216"/>
  <c r="B138" i="20994"/>
  <c r="B138" i="768"/>
  <c r="B139" i="10285"/>
  <c r="B138" i="25580"/>
  <c r="B138" i="3584"/>
  <c r="B37" i="25587"/>
  <c r="B37" i="25586"/>
  <c r="B137" i="2316"/>
  <c r="B137" i="32"/>
  <c r="B137" i="1024"/>
  <c r="B137" i="9216"/>
  <c r="B137" i="20994"/>
  <c r="B137" i="768"/>
  <c r="B138" i="10285"/>
  <c r="B137" i="25580"/>
  <c r="B137" i="3584"/>
  <c r="B36" i="25587"/>
  <c r="B36" i="25586"/>
  <c r="I27" i="25591"/>
  <c r="H27" i="25591"/>
  <c r="G27" i="25591"/>
  <c r="F27" i="25591"/>
  <c r="E27" i="25591"/>
  <c r="D27" i="25591"/>
  <c r="I26" i="25591"/>
  <c r="H26" i="25591"/>
  <c r="G26" i="25591"/>
  <c r="F26" i="25591"/>
  <c r="E26" i="25591"/>
  <c r="D26" i="25591"/>
  <c r="I25" i="25591"/>
  <c r="H25" i="25591"/>
  <c r="G25" i="25591"/>
  <c r="F25" i="25591"/>
  <c r="E25" i="25591"/>
  <c r="D25" i="25591"/>
  <c r="I24" i="25591"/>
  <c r="H24" i="25591"/>
  <c r="G24" i="25591"/>
  <c r="F24" i="25591"/>
  <c r="E24" i="25591"/>
  <c r="D24" i="25591"/>
  <c r="I23" i="25591"/>
  <c r="H23" i="25591"/>
  <c r="G23" i="25591"/>
  <c r="F23" i="25591"/>
  <c r="E23" i="25591"/>
  <c r="D23" i="25591"/>
  <c r="B136" i="2316"/>
  <c r="B136" i="32"/>
  <c r="B136" i="1024"/>
  <c r="B136" i="9216"/>
  <c r="B136" i="20994"/>
  <c r="B136" i="768"/>
  <c r="B137" i="10285"/>
  <c r="B136" i="25580"/>
  <c r="B136" i="3584"/>
  <c r="B35" i="25587"/>
  <c r="B35" i="25586"/>
  <c r="B135" i="2316"/>
  <c r="B135" i="32"/>
  <c r="B135" i="1024"/>
  <c r="B135" i="9216"/>
  <c r="B135" i="20994"/>
  <c r="B135" i="768"/>
  <c r="B136" i="10285"/>
  <c r="B135" i="25580"/>
  <c r="B135" i="3584"/>
  <c r="B34" i="25587"/>
  <c r="B34" i="25586"/>
  <c r="B33" i="25587"/>
  <c r="B32" i="25587"/>
  <c r="B31" i="25587"/>
  <c r="B30" i="25587"/>
  <c r="B29" i="25587"/>
  <c r="B28" i="25587"/>
  <c r="B27" i="25587"/>
  <c r="B26" i="25587"/>
  <c r="B25" i="25587"/>
  <c r="B24" i="25587"/>
  <c r="B23" i="25587"/>
  <c r="B22" i="25587"/>
  <c r="B21" i="25587"/>
  <c r="B20" i="25587"/>
  <c r="B19" i="25587"/>
  <c r="B18" i="25587"/>
  <c r="B17" i="25587"/>
  <c r="B16" i="25587"/>
  <c r="B15" i="25587"/>
  <c r="B14" i="25587"/>
  <c r="B13" i="25587"/>
  <c r="B12" i="25587"/>
  <c r="B11" i="25587"/>
  <c r="B10" i="25587"/>
  <c r="B9" i="25587"/>
  <c r="B8" i="25587"/>
  <c r="C8" i="9216"/>
  <c r="C9" i="9216"/>
  <c r="D9" i="9216"/>
  <c r="C10" i="9216"/>
  <c r="D10" i="9216"/>
  <c r="C11" i="9216"/>
  <c r="D11" i="9216"/>
  <c r="E11" i="9216"/>
  <c r="C12" i="9216"/>
  <c r="D12" i="9216"/>
  <c r="E12" i="9216"/>
  <c r="C13" i="9216"/>
  <c r="D13" i="9216"/>
  <c r="E13" i="9216"/>
  <c r="C14" i="9216"/>
  <c r="D14" i="9216"/>
  <c r="E14" i="9216"/>
  <c r="C15" i="9216"/>
  <c r="D15" i="9216"/>
  <c r="E15" i="9216"/>
  <c r="C16" i="9216"/>
  <c r="D16" i="9216"/>
  <c r="E16" i="9216"/>
  <c r="C17" i="9216"/>
  <c r="D17" i="9216"/>
  <c r="E17" i="9216"/>
  <c r="C18" i="9216"/>
  <c r="D18" i="9216"/>
  <c r="E18" i="9216"/>
  <c r="C19" i="9216"/>
  <c r="D19" i="9216"/>
  <c r="E19" i="9216"/>
  <c r="C20" i="9216"/>
  <c r="D20" i="9216"/>
  <c r="E20" i="9216"/>
  <c r="F20" i="9216"/>
  <c r="C21" i="9216"/>
  <c r="D21" i="9216"/>
  <c r="E21" i="9216"/>
  <c r="F21" i="9216"/>
  <c r="C22" i="9216"/>
  <c r="D22" i="9216"/>
  <c r="E22" i="9216"/>
  <c r="F22" i="9216"/>
  <c r="C23" i="9216"/>
  <c r="D23" i="9216"/>
  <c r="E23" i="9216"/>
  <c r="F23" i="9216"/>
  <c r="C24" i="9216"/>
  <c r="D24" i="9216"/>
  <c r="E24" i="9216"/>
  <c r="F24" i="9216"/>
  <c r="C25" i="9216"/>
  <c r="D25" i="9216"/>
  <c r="E25" i="9216"/>
  <c r="F25" i="9216"/>
  <c r="C26" i="9216"/>
  <c r="D26" i="9216"/>
  <c r="E26" i="9216"/>
  <c r="F26" i="9216"/>
  <c r="C27" i="9216"/>
  <c r="D27" i="9216"/>
  <c r="E27" i="9216"/>
  <c r="F27" i="9216"/>
  <c r="C28" i="9216"/>
  <c r="D28" i="9216"/>
  <c r="E28" i="9216"/>
  <c r="F28" i="9216"/>
  <c r="C29" i="9216"/>
  <c r="D29" i="9216"/>
  <c r="E29" i="9216"/>
  <c r="F29" i="9216"/>
  <c r="C30" i="9216"/>
  <c r="D30" i="9216"/>
  <c r="E30" i="9216"/>
  <c r="F30" i="9216"/>
  <c r="C31" i="9216"/>
  <c r="D31" i="9216"/>
  <c r="E31" i="9216"/>
  <c r="F31" i="9216"/>
  <c r="C32" i="9216"/>
  <c r="D32" i="9216"/>
  <c r="E32" i="9216"/>
  <c r="F32" i="9216"/>
  <c r="G32" i="9216"/>
  <c r="C33" i="9216"/>
  <c r="D33" i="9216"/>
  <c r="E33" i="9216"/>
  <c r="F33" i="9216"/>
  <c r="G33" i="9216"/>
  <c r="C34" i="9216"/>
  <c r="D34" i="9216"/>
  <c r="E34" i="9216"/>
  <c r="F34" i="9216"/>
  <c r="G34" i="9216"/>
  <c r="C35" i="9216"/>
  <c r="D35" i="9216"/>
  <c r="E35" i="9216"/>
  <c r="F35" i="9216"/>
  <c r="G35" i="9216"/>
  <c r="C36" i="9216"/>
  <c r="D36" i="9216"/>
  <c r="E36" i="9216"/>
  <c r="F36" i="9216"/>
  <c r="G36" i="9216"/>
  <c r="C37" i="9216"/>
  <c r="D37" i="9216"/>
  <c r="E37" i="9216"/>
  <c r="F37" i="9216"/>
  <c r="G37" i="9216"/>
  <c r="C38" i="9216"/>
  <c r="D38" i="9216"/>
  <c r="E38" i="9216"/>
  <c r="F38" i="9216"/>
  <c r="G38" i="9216"/>
  <c r="C39" i="9216"/>
  <c r="D39" i="9216"/>
  <c r="E39" i="9216"/>
  <c r="F39" i="9216"/>
  <c r="G39" i="9216"/>
  <c r="C40" i="9216"/>
  <c r="D40" i="9216"/>
  <c r="E40" i="9216"/>
  <c r="F40" i="9216"/>
  <c r="G40" i="9216"/>
  <c r="C41" i="9216"/>
  <c r="D41" i="9216"/>
  <c r="E41" i="9216"/>
  <c r="F41" i="9216"/>
  <c r="G41" i="9216"/>
  <c r="C42" i="9216"/>
  <c r="D42" i="9216"/>
  <c r="E42" i="9216"/>
  <c r="F42" i="9216"/>
  <c r="G42" i="9216"/>
  <c r="C43" i="9216"/>
  <c r="D43" i="9216"/>
  <c r="E43" i="9216"/>
  <c r="F43" i="9216"/>
  <c r="G43" i="9216"/>
  <c r="C44" i="9216"/>
  <c r="D44" i="9216"/>
  <c r="E44" i="9216"/>
  <c r="F44" i="9216"/>
  <c r="G44" i="9216"/>
  <c r="C45" i="9216"/>
  <c r="D45" i="9216"/>
  <c r="E45" i="9216"/>
  <c r="F45" i="9216"/>
  <c r="G45" i="9216"/>
  <c r="C46" i="9216"/>
  <c r="D46" i="9216"/>
  <c r="E46" i="9216"/>
  <c r="F46" i="9216"/>
  <c r="G46" i="9216"/>
  <c r="C47" i="9216"/>
  <c r="D47" i="9216"/>
  <c r="E47" i="9216"/>
  <c r="F47" i="9216"/>
  <c r="G47" i="9216"/>
  <c r="C48" i="9216"/>
  <c r="D48" i="9216"/>
  <c r="E48" i="9216"/>
  <c r="F48" i="9216"/>
  <c r="G48" i="9216"/>
  <c r="C49" i="9216"/>
  <c r="D49" i="9216"/>
  <c r="E49" i="9216"/>
  <c r="F49" i="9216"/>
  <c r="G49" i="9216"/>
  <c r="C50" i="9216"/>
  <c r="D50" i="9216"/>
  <c r="E50" i="9216"/>
  <c r="F50" i="9216"/>
  <c r="G50" i="9216"/>
  <c r="C51" i="9216"/>
  <c r="D51" i="9216"/>
  <c r="E51" i="9216"/>
  <c r="F51" i="9216"/>
  <c r="G51" i="9216"/>
  <c r="C52" i="9216"/>
  <c r="D52" i="9216"/>
  <c r="E52" i="9216"/>
  <c r="F52" i="9216"/>
  <c r="G52" i="9216"/>
  <c r="C53" i="9216"/>
  <c r="D53" i="9216"/>
  <c r="E53" i="9216"/>
  <c r="F53" i="9216"/>
  <c r="G53" i="9216"/>
  <c r="C54" i="9216"/>
  <c r="D54" i="9216"/>
  <c r="E54" i="9216"/>
  <c r="F54" i="9216"/>
  <c r="G54" i="9216"/>
  <c r="C55" i="9216"/>
  <c r="D55" i="9216"/>
  <c r="E55" i="9216"/>
  <c r="F55" i="9216"/>
  <c r="G55" i="9216"/>
  <c r="C56" i="9216"/>
  <c r="D56" i="9216"/>
  <c r="E56" i="9216"/>
  <c r="F56" i="9216"/>
  <c r="G56" i="9216"/>
  <c r="C57" i="9216"/>
  <c r="D57" i="9216"/>
  <c r="E57" i="9216"/>
  <c r="F57" i="9216"/>
  <c r="G57" i="9216"/>
  <c r="C58" i="9216"/>
  <c r="D58" i="9216"/>
  <c r="E58" i="9216"/>
  <c r="F58" i="9216"/>
  <c r="G58" i="9216"/>
  <c r="B59" i="9216"/>
  <c r="B60" i="9216"/>
  <c r="B61" i="9216"/>
  <c r="B62" i="9216"/>
  <c r="B63" i="9216"/>
  <c r="B64" i="9216"/>
  <c r="B65" i="9216"/>
  <c r="B66" i="9216"/>
  <c r="B67" i="9216"/>
  <c r="B68" i="9216"/>
  <c r="B69" i="9216"/>
  <c r="B70" i="9216"/>
  <c r="B71" i="9216"/>
  <c r="B72" i="9216"/>
  <c r="B73" i="9216"/>
  <c r="B74" i="9216"/>
  <c r="B75" i="9216"/>
  <c r="B76" i="9216"/>
  <c r="B77" i="9216"/>
  <c r="B78" i="9216"/>
  <c r="B79" i="9216"/>
  <c r="B80" i="9216"/>
  <c r="B81" i="9216"/>
  <c r="B82" i="9216"/>
  <c r="B83" i="9216"/>
  <c r="B84" i="9216"/>
  <c r="B85" i="9216"/>
  <c r="B86" i="9216"/>
  <c r="B87" i="9216"/>
  <c r="B88" i="9216"/>
  <c r="B89" i="9216"/>
  <c r="B90" i="9216"/>
  <c r="B91" i="9216"/>
  <c r="B92" i="9216"/>
  <c r="B93" i="9216"/>
  <c r="B94" i="9216"/>
  <c r="B95" i="9216"/>
  <c r="B96" i="9216"/>
  <c r="B97" i="9216"/>
  <c r="B98" i="9216"/>
  <c r="B99" i="9216"/>
  <c r="B100" i="9216"/>
  <c r="B101" i="9216"/>
  <c r="B102" i="9216"/>
  <c r="B103" i="9216"/>
  <c r="B104" i="9216"/>
  <c r="B105" i="9216"/>
  <c r="B106" i="9216"/>
  <c r="B107" i="9216"/>
  <c r="B108" i="9216"/>
  <c r="B109" i="9216"/>
  <c r="B110" i="9216"/>
  <c r="B111" i="9216"/>
  <c r="B112" i="9216"/>
  <c r="B113" i="9216"/>
  <c r="B114" i="9216"/>
  <c r="B115" i="9216"/>
  <c r="B116" i="9216"/>
  <c r="B117" i="9216"/>
  <c r="B118" i="9216"/>
  <c r="B119" i="9216"/>
  <c r="B120" i="9216"/>
  <c r="B121" i="9216"/>
  <c r="B122" i="9216"/>
  <c r="B123" i="9216"/>
  <c r="B124" i="9216"/>
  <c r="B125" i="9216"/>
  <c r="B126" i="9216"/>
  <c r="B127" i="9216"/>
  <c r="B128" i="9216"/>
  <c r="B129" i="9216"/>
  <c r="B130" i="9216"/>
  <c r="B131" i="9216"/>
  <c r="B132" i="9216"/>
  <c r="B133" i="9216"/>
  <c r="B134" i="9216"/>
  <c r="G51" i="25580"/>
  <c r="F51" i="25580"/>
  <c r="E51" i="25580"/>
  <c r="D51" i="25580"/>
  <c r="C51" i="25580"/>
  <c r="B33" i="25586"/>
  <c r="B32" i="25586"/>
  <c r="B31" i="25586"/>
  <c r="B30" i="25586"/>
  <c r="B29" i="25586"/>
  <c r="B28" i="25586"/>
  <c r="B27" i="25586"/>
  <c r="B26" i="25586"/>
  <c r="B25" i="25586"/>
  <c r="B24" i="25586"/>
  <c r="B23" i="25586"/>
  <c r="B22" i="25586"/>
  <c r="B21" i="25586"/>
  <c r="B20" i="25586"/>
  <c r="B19" i="25586"/>
  <c r="B18" i="25586"/>
  <c r="B17" i="25586"/>
  <c r="B16" i="25586"/>
  <c r="B15" i="25586"/>
  <c r="B14" i="25586"/>
  <c r="B13" i="25586"/>
  <c r="B12" i="25586"/>
  <c r="B11" i="25586"/>
  <c r="B10" i="25586"/>
  <c r="B9" i="25586"/>
  <c r="B8" i="25586"/>
  <c r="B134" i="2316"/>
  <c r="B134" i="32"/>
  <c r="B134" i="1024"/>
  <c r="B134" i="20994"/>
  <c r="B134" i="768"/>
  <c r="B135" i="10285"/>
  <c r="B134" i="25580"/>
  <c r="B134" i="3584"/>
  <c r="B133" i="2316"/>
  <c r="B133" i="32"/>
  <c r="B132" i="32"/>
  <c r="B133" i="1024"/>
  <c r="B133" i="20994"/>
  <c r="B133" i="768"/>
  <c r="B134" i="10285"/>
  <c r="B133" i="25580"/>
  <c r="B133" i="3584"/>
  <c r="B132" i="2316"/>
  <c r="B132" i="1024"/>
  <c r="B132" i="20994"/>
  <c r="B132" i="768"/>
  <c r="B133" i="10285"/>
  <c r="B132" i="25580"/>
  <c r="B132" i="3584"/>
  <c r="B131" i="2316"/>
  <c r="B130" i="2316"/>
  <c r="B131" i="32"/>
  <c r="B131" i="1024"/>
  <c r="B131" i="20994"/>
  <c r="B131" i="768"/>
  <c r="B132" i="10285"/>
  <c r="B131" i="25580"/>
  <c r="B131" i="3584"/>
  <c r="B130" i="32"/>
  <c r="B130" i="1024"/>
  <c r="B129" i="1024"/>
  <c r="B130" i="20994"/>
  <c r="B130" i="768"/>
  <c r="B131" i="10285"/>
  <c r="B130" i="25580"/>
  <c r="B129" i="25580"/>
  <c r="B130" i="3584"/>
  <c r="B129" i="3584"/>
  <c r="B130" i="10285"/>
  <c r="B129" i="768"/>
  <c r="B129" i="20994"/>
  <c r="B129" i="32"/>
  <c r="B129" i="2316"/>
  <c r="B128" i="2316"/>
  <c r="B127" i="2316"/>
  <c r="B126" i="2316"/>
  <c r="B125" i="2316"/>
  <c r="B124" i="2316"/>
  <c r="B123" i="2316"/>
  <c r="B122" i="2316"/>
  <c r="B121" i="2316"/>
  <c r="B120" i="2316"/>
  <c r="B119" i="2316"/>
  <c r="B118" i="2316"/>
  <c r="B117" i="2316"/>
  <c r="B116" i="2316"/>
  <c r="B115" i="2316"/>
  <c r="B114" i="2316"/>
  <c r="B113" i="2316"/>
  <c r="B112" i="2316"/>
  <c r="B111" i="2316"/>
  <c r="B110" i="2316"/>
  <c r="B109" i="2316"/>
  <c r="B108" i="2316"/>
  <c r="B107" i="2316"/>
  <c r="B106" i="2316"/>
  <c r="B105" i="2316"/>
  <c r="B104" i="2316"/>
  <c r="B103" i="2316"/>
  <c r="B102" i="2316"/>
  <c r="B101" i="2316"/>
  <c r="B100" i="2316"/>
  <c r="B99" i="2316"/>
  <c r="B98" i="2316"/>
  <c r="B97" i="2316"/>
  <c r="B96" i="2316"/>
  <c r="B95" i="2316"/>
  <c r="B94" i="2316"/>
  <c r="B93" i="2316"/>
  <c r="B92" i="2316"/>
  <c r="B91" i="2316"/>
  <c r="B90" i="2316"/>
  <c r="B89" i="2316"/>
  <c r="B88" i="2316"/>
  <c r="B87" i="2316"/>
  <c r="B86" i="2316"/>
  <c r="B85" i="2316"/>
  <c r="B84" i="2316"/>
  <c r="B83" i="2316"/>
  <c r="B82" i="2316"/>
  <c r="B81" i="2316"/>
  <c r="B80" i="2316"/>
  <c r="B79" i="2316"/>
  <c r="B78" i="2316"/>
  <c r="B77" i="2316"/>
  <c r="B76" i="2316"/>
  <c r="B75" i="2316"/>
  <c r="B74" i="2316"/>
  <c r="B73" i="2316"/>
  <c r="B72" i="2316"/>
  <c r="B71" i="2316"/>
  <c r="B70" i="2316"/>
  <c r="B69" i="2316"/>
  <c r="B68" i="2316"/>
  <c r="B67" i="2316"/>
  <c r="B66" i="2316"/>
  <c r="B65" i="2316"/>
  <c r="B64" i="2316"/>
  <c r="B63" i="2316"/>
  <c r="B62" i="2316"/>
  <c r="B61" i="2316"/>
  <c r="B60" i="2316"/>
  <c r="B59" i="2316"/>
  <c r="B128" i="32"/>
  <c r="B127" i="32"/>
  <c r="B126" i="32"/>
  <c r="B125" i="32"/>
  <c r="B124" i="32"/>
  <c r="B123" i="32"/>
  <c r="B122" i="32"/>
  <c r="B121" i="32"/>
  <c r="B120" i="32"/>
  <c r="B119" i="32"/>
  <c r="B118" i="32"/>
  <c r="B117" i="32"/>
  <c r="B116" i="32"/>
  <c r="B115" i="32"/>
  <c r="B114" i="32"/>
  <c r="B113" i="32"/>
  <c r="B112" i="32"/>
  <c r="B111" i="32"/>
  <c r="B110" i="32"/>
  <c r="B109" i="32"/>
  <c r="B108" i="32"/>
  <c r="B107" i="32"/>
  <c r="B106" i="32"/>
  <c r="B105" i="32"/>
  <c r="B104" i="32"/>
  <c r="B103" i="32"/>
  <c r="B102" i="32"/>
  <c r="B101" i="32"/>
  <c r="B100" i="32"/>
  <c r="B99" i="32"/>
  <c r="B98" i="32"/>
  <c r="B97" i="32"/>
  <c r="B96" i="32"/>
  <c r="B95" i="32"/>
  <c r="B94" i="32"/>
  <c r="B93" i="32"/>
  <c r="B92" i="32"/>
  <c r="B91" i="32"/>
  <c r="B90" i="32"/>
  <c r="B89" i="32"/>
  <c r="B88" i="32"/>
  <c r="B87" i="32"/>
  <c r="B86" i="32"/>
  <c r="B85" i="32"/>
  <c r="B84" i="32"/>
  <c r="B83" i="32"/>
  <c r="B82" i="32"/>
  <c r="B81" i="32"/>
  <c r="B80" i="32"/>
  <c r="B79" i="32"/>
  <c r="B78" i="32"/>
  <c r="B77" i="32"/>
  <c r="B76" i="32"/>
  <c r="B75" i="32"/>
  <c r="B74" i="32"/>
  <c r="B73" i="32"/>
  <c r="B72" i="32"/>
  <c r="B71" i="32"/>
  <c r="B70" i="32"/>
  <c r="B69" i="32"/>
  <c r="B68" i="32"/>
  <c r="B67" i="32"/>
  <c r="B66" i="32"/>
  <c r="B65" i="32"/>
  <c r="B64" i="32"/>
  <c r="B63" i="32"/>
  <c r="B62" i="32"/>
  <c r="B61" i="32"/>
  <c r="B60" i="32"/>
  <c r="B59" i="32"/>
  <c r="B128" i="1024"/>
  <c r="B127" i="1024"/>
  <c r="B126" i="1024"/>
  <c r="B125" i="1024"/>
  <c r="B124" i="1024"/>
  <c r="B123" i="1024"/>
  <c r="B122" i="1024"/>
  <c r="B121" i="1024"/>
  <c r="B120" i="1024"/>
  <c r="B119" i="1024"/>
  <c r="B118" i="1024"/>
  <c r="B117" i="1024"/>
  <c r="B116" i="1024"/>
  <c r="B115" i="1024"/>
  <c r="B114" i="1024"/>
  <c r="B113" i="1024"/>
  <c r="B112" i="1024"/>
  <c r="B111" i="1024"/>
  <c r="B110" i="1024"/>
  <c r="B109" i="1024"/>
  <c r="B108" i="1024"/>
  <c r="B107" i="1024"/>
  <c r="B106" i="1024"/>
  <c r="B105" i="1024"/>
  <c r="B104" i="1024"/>
  <c r="B103" i="1024"/>
  <c r="B102" i="1024"/>
  <c r="B101" i="1024"/>
  <c r="B100" i="1024"/>
  <c r="B99" i="1024"/>
  <c r="B98" i="1024"/>
  <c r="B97" i="1024"/>
  <c r="B96" i="1024"/>
  <c r="B95" i="1024"/>
  <c r="B94" i="1024"/>
  <c r="B93" i="1024"/>
  <c r="B92" i="1024"/>
  <c r="B91" i="1024"/>
  <c r="B90" i="1024"/>
  <c r="B89" i="1024"/>
  <c r="B88" i="1024"/>
  <c r="B87" i="1024"/>
  <c r="B86" i="1024"/>
  <c r="B85" i="1024"/>
  <c r="B84" i="1024"/>
  <c r="B83" i="1024"/>
  <c r="B82" i="1024"/>
  <c r="B81" i="1024"/>
  <c r="B80" i="1024"/>
  <c r="B79" i="1024"/>
  <c r="B78" i="1024"/>
  <c r="B77" i="1024"/>
  <c r="B76" i="1024"/>
  <c r="B75" i="1024"/>
  <c r="B74" i="1024"/>
  <c r="B73" i="1024"/>
  <c r="B72" i="1024"/>
  <c r="B71" i="1024"/>
  <c r="B70" i="1024"/>
  <c r="B69" i="1024"/>
  <c r="B68" i="1024"/>
  <c r="B67" i="1024"/>
  <c r="B66" i="1024"/>
  <c r="B65" i="1024"/>
  <c r="B64" i="1024"/>
  <c r="B63" i="1024"/>
  <c r="B62" i="1024"/>
  <c r="B61" i="1024"/>
  <c r="B60" i="1024"/>
  <c r="B59" i="1024"/>
  <c r="B128" i="20994"/>
  <c r="B127" i="20994"/>
  <c r="B126" i="20994"/>
  <c r="B125" i="20994"/>
  <c r="B124" i="20994"/>
  <c r="B123" i="20994"/>
  <c r="B122" i="20994"/>
  <c r="B121" i="20994"/>
  <c r="B120" i="20994"/>
  <c r="B119" i="20994"/>
  <c r="B118" i="20994"/>
  <c r="B117" i="20994"/>
  <c r="B116" i="20994"/>
  <c r="B115" i="20994"/>
  <c r="B114" i="20994"/>
  <c r="B113" i="20994"/>
  <c r="B112" i="20994"/>
  <c r="B111" i="20994"/>
  <c r="B110" i="20994"/>
  <c r="B109" i="20994"/>
  <c r="B108" i="20994"/>
  <c r="B107" i="20994"/>
  <c r="B106" i="20994"/>
  <c r="B105" i="20994"/>
  <c r="B104" i="20994"/>
  <c r="B103" i="20994"/>
  <c r="B102" i="20994"/>
  <c r="B101" i="20994"/>
  <c r="B100" i="20994"/>
  <c r="B99" i="20994"/>
  <c r="B98" i="20994"/>
  <c r="B97" i="20994"/>
  <c r="B96" i="20994"/>
  <c r="B95" i="20994"/>
  <c r="B94" i="20994"/>
  <c r="B93" i="20994"/>
  <c r="B92" i="20994"/>
  <c r="B91" i="20994"/>
  <c r="B90" i="20994"/>
  <c r="B89" i="20994"/>
  <c r="B88" i="20994"/>
  <c r="B87" i="20994"/>
  <c r="B86" i="20994"/>
  <c r="B85" i="20994"/>
  <c r="B84" i="20994"/>
  <c r="B83" i="20994"/>
  <c r="B82" i="20994"/>
  <c r="B81" i="20994"/>
  <c r="B80" i="20994"/>
  <c r="B79" i="20994"/>
  <c r="B78" i="20994"/>
  <c r="B77" i="20994"/>
  <c r="B76" i="20994"/>
  <c r="B75" i="20994"/>
  <c r="B74" i="20994"/>
  <c r="B73" i="20994"/>
  <c r="B72" i="20994"/>
  <c r="B71" i="20994"/>
  <c r="B70" i="20994"/>
  <c r="B69" i="20994"/>
  <c r="B68" i="20994"/>
  <c r="B67" i="20994"/>
  <c r="B66" i="20994"/>
  <c r="B65" i="20994"/>
  <c r="B64" i="20994"/>
  <c r="B63" i="20994"/>
  <c r="B62" i="20994"/>
  <c r="B61" i="20994"/>
  <c r="B60" i="20994"/>
  <c r="B59" i="20994"/>
  <c r="B128" i="768"/>
  <c r="B127" i="768"/>
  <c r="B126" i="768"/>
  <c r="B125" i="768"/>
  <c r="B124" i="768"/>
  <c r="B123" i="768"/>
  <c r="B122" i="768"/>
  <c r="B121" i="768"/>
  <c r="B120" i="768"/>
  <c r="B119" i="768"/>
  <c r="B118" i="768"/>
  <c r="B117" i="768"/>
  <c r="B116" i="768"/>
  <c r="B115" i="768"/>
  <c r="B114" i="768"/>
  <c r="B113" i="768"/>
  <c r="B112" i="768"/>
  <c r="B111" i="768"/>
  <c r="B110" i="768"/>
  <c r="B109" i="768"/>
  <c r="B108" i="768"/>
  <c r="B107" i="768"/>
  <c r="B106" i="768"/>
  <c r="B105" i="768"/>
  <c r="B104" i="768"/>
  <c r="B103" i="768"/>
  <c r="B102" i="768"/>
  <c r="B101" i="768"/>
  <c r="B100" i="768"/>
  <c r="B99" i="768"/>
  <c r="B98" i="768"/>
  <c r="B97" i="768"/>
  <c r="B96" i="768"/>
  <c r="B95" i="768"/>
  <c r="B94" i="768"/>
  <c r="B93" i="768"/>
  <c r="B92" i="768"/>
  <c r="B91" i="768"/>
  <c r="B90" i="768"/>
  <c r="B89" i="768"/>
  <c r="B88" i="768"/>
  <c r="B87" i="768"/>
  <c r="B86" i="768"/>
  <c r="B85" i="768"/>
  <c r="B84" i="768"/>
  <c r="B83" i="768"/>
  <c r="B82" i="768"/>
  <c r="B81" i="768"/>
  <c r="B80" i="768"/>
  <c r="B79" i="768"/>
  <c r="B78" i="768"/>
  <c r="B77" i="768"/>
  <c r="B76" i="768"/>
  <c r="B75" i="768"/>
  <c r="B74" i="768"/>
  <c r="B73" i="768"/>
  <c r="B72" i="768"/>
  <c r="B71" i="768"/>
  <c r="B70" i="768"/>
  <c r="B69" i="768"/>
  <c r="B68" i="768"/>
  <c r="B67" i="768"/>
  <c r="B66" i="768"/>
  <c r="B65" i="768"/>
  <c r="B64" i="768"/>
  <c r="B63" i="768"/>
  <c r="B62" i="768"/>
  <c r="B61" i="768"/>
  <c r="B60" i="768"/>
  <c r="B59" i="768"/>
  <c r="B129" i="10285"/>
  <c r="B128" i="10285"/>
  <c r="B127" i="10285"/>
  <c r="B126" i="10285"/>
  <c r="B125" i="10285"/>
  <c r="B124" i="10285"/>
  <c r="B123" i="10285"/>
  <c r="B122" i="10285"/>
  <c r="B121" i="10285"/>
  <c r="B120" i="10285"/>
  <c r="B119" i="10285"/>
  <c r="B118" i="10285"/>
  <c r="B117" i="10285"/>
  <c r="B116" i="10285"/>
  <c r="B115" i="10285"/>
  <c r="B114" i="10285"/>
  <c r="B113" i="10285"/>
  <c r="B112" i="10285"/>
  <c r="B111" i="10285"/>
  <c r="B110" i="10285"/>
  <c r="B109" i="10285"/>
  <c r="B108" i="10285"/>
  <c r="B107" i="10285"/>
  <c r="B106" i="10285"/>
  <c r="B105" i="10285"/>
  <c r="B104" i="10285"/>
  <c r="B103" i="10285"/>
  <c r="B102" i="10285"/>
  <c r="B101" i="10285"/>
  <c r="B100" i="10285"/>
  <c r="B99" i="10285"/>
  <c r="B98" i="10285"/>
  <c r="B97" i="10285"/>
  <c r="B96" i="10285"/>
  <c r="B95" i="10285"/>
  <c r="B94" i="10285"/>
  <c r="B93" i="10285"/>
  <c r="B92" i="10285"/>
  <c r="B91" i="10285"/>
  <c r="B90" i="10285"/>
  <c r="B89" i="10285"/>
  <c r="B88" i="10285"/>
  <c r="B87" i="10285"/>
  <c r="B86" i="10285"/>
  <c r="B85" i="10285"/>
  <c r="B84" i="10285"/>
  <c r="B83" i="10285"/>
  <c r="B82" i="10285"/>
  <c r="B81" i="10285"/>
  <c r="B80" i="10285"/>
  <c r="B79" i="10285"/>
  <c r="B78" i="10285"/>
  <c r="B77" i="10285"/>
  <c r="B76" i="10285"/>
  <c r="B75" i="10285"/>
  <c r="B74" i="10285"/>
  <c r="B73" i="10285"/>
  <c r="B72" i="10285"/>
  <c r="B71" i="10285"/>
  <c r="B70" i="10285"/>
  <c r="B69" i="10285"/>
  <c r="B68" i="10285"/>
  <c r="B67" i="10285"/>
  <c r="B66" i="10285"/>
  <c r="B65" i="10285"/>
  <c r="B64" i="10285"/>
  <c r="B63" i="10285"/>
  <c r="B62" i="10285"/>
  <c r="B61" i="10285"/>
  <c r="B60" i="10285"/>
  <c r="B128" i="25580"/>
  <c r="B127" i="25580"/>
  <c r="B126" i="25580"/>
  <c r="B125" i="25580"/>
  <c r="B124" i="25580"/>
  <c r="B123" i="25580"/>
  <c r="B122" i="25580"/>
  <c r="B121" i="25580"/>
  <c r="B120" i="25580"/>
  <c r="B119" i="25580"/>
  <c r="B118" i="25580"/>
  <c r="B117" i="25580"/>
  <c r="B116" i="25580"/>
  <c r="B115" i="25580"/>
  <c r="B114" i="25580"/>
  <c r="B113" i="25580"/>
  <c r="B112" i="25580"/>
  <c r="B111" i="25580"/>
  <c r="B110" i="25580"/>
  <c r="B109" i="25580"/>
  <c r="B108" i="25580"/>
  <c r="B107" i="25580"/>
  <c r="B106" i="25580"/>
  <c r="B105" i="25580"/>
  <c r="B104" i="25580"/>
  <c r="B103" i="25580"/>
  <c r="B102" i="25580"/>
  <c r="B101" i="25580"/>
  <c r="B100" i="25580"/>
  <c r="B99" i="25580"/>
  <c r="B98" i="25580"/>
  <c r="B97" i="25580"/>
  <c r="B96" i="25580"/>
  <c r="B95" i="25580"/>
  <c r="B94" i="25580"/>
  <c r="B93" i="25580"/>
  <c r="B92" i="25580"/>
  <c r="B91" i="25580"/>
  <c r="B90" i="25580"/>
  <c r="B89" i="25580"/>
  <c r="B88" i="25580"/>
  <c r="B87" i="25580"/>
  <c r="B86" i="25580"/>
  <c r="B85" i="25580"/>
  <c r="B84" i="25580"/>
  <c r="B83" i="25580"/>
  <c r="B82" i="25580"/>
  <c r="B81" i="25580"/>
  <c r="B80" i="25580"/>
  <c r="B79" i="25580"/>
  <c r="B78" i="25580"/>
  <c r="B77" i="25580"/>
  <c r="B76" i="25580"/>
  <c r="B75" i="25580"/>
  <c r="B74" i="25580"/>
  <c r="B73" i="25580"/>
  <c r="B72" i="25580"/>
  <c r="B71" i="25580"/>
  <c r="B70" i="25580"/>
  <c r="B69" i="25580"/>
  <c r="B68" i="25580"/>
  <c r="B67" i="25580"/>
  <c r="B66" i="25580"/>
  <c r="B65" i="25580"/>
  <c r="B64" i="25580"/>
  <c r="B63" i="25580"/>
  <c r="B62" i="25580"/>
  <c r="B61" i="25580"/>
  <c r="B60" i="25580"/>
  <c r="B59" i="25580"/>
  <c r="B128" i="3584"/>
  <c r="B127" i="3584"/>
  <c r="B126" i="3584"/>
  <c r="B125" i="3584"/>
  <c r="B124" i="3584"/>
  <c r="B123" i="3584"/>
  <c r="B122" i="3584"/>
  <c r="B121" i="3584"/>
  <c r="B120" i="3584"/>
  <c r="B118" i="3584"/>
  <c r="B117" i="3584"/>
  <c r="B116" i="3584"/>
  <c r="B115" i="3584"/>
  <c r="B114" i="3584"/>
  <c r="B113" i="3584"/>
  <c r="B112" i="3584"/>
  <c r="B111" i="3584"/>
  <c r="B110" i="3584"/>
  <c r="B109" i="3584"/>
  <c r="B108" i="3584"/>
  <c r="B107" i="3584"/>
  <c r="B106" i="3584"/>
  <c r="B105" i="3584"/>
  <c r="B104" i="3584"/>
  <c r="B103" i="3584"/>
  <c r="B102" i="3584"/>
  <c r="B101" i="3584"/>
  <c r="B100" i="3584"/>
  <c r="B99" i="3584"/>
  <c r="B98" i="3584"/>
  <c r="B97" i="3584"/>
  <c r="B96" i="3584"/>
  <c r="B95" i="3584"/>
  <c r="B94" i="3584"/>
  <c r="B93" i="3584"/>
  <c r="B92" i="3584"/>
  <c r="B91" i="3584"/>
  <c r="B90" i="3584"/>
  <c r="B89" i="3584"/>
  <c r="B88" i="3584"/>
  <c r="B87" i="3584"/>
  <c r="B86" i="3584"/>
  <c r="B85" i="3584"/>
  <c r="B84" i="3584"/>
  <c r="B83" i="3584"/>
  <c r="B82" i="3584"/>
  <c r="B81" i="3584"/>
  <c r="B80" i="3584"/>
  <c r="B79" i="3584"/>
  <c r="B78" i="3584"/>
  <c r="B77" i="3584"/>
  <c r="B76" i="3584"/>
  <c r="B75" i="3584"/>
  <c r="B74" i="3584"/>
  <c r="B73" i="3584"/>
  <c r="B72" i="3584"/>
  <c r="B71" i="3584"/>
  <c r="B70" i="3584"/>
  <c r="B69" i="3584"/>
  <c r="B68" i="3584"/>
  <c r="B67" i="3584"/>
  <c r="B66" i="3584"/>
  <c r="B65" i="3584"/>
  <c r="B64" i="3584"/>
  <c r="B63" i="3584"/>
  <c r="B62" i="3584"/>
  <c r="B61" i="3584"/>
  <c r="B60" i="3584"/>
  <c r="B59" i="3584"/>
  <c r="F63" i="4888"/>
  <c r="C13" i="25583"/>
  <c r="C11" i="25583"/>
  <c r="C10" i="25583"/>
  <c r="C9" i="25583"/>
  <c r="C8" i="25583"/>
  <c r="C7" i="25583"/>
  <c r="C6" i="25583"/>
  <c r="C5" i="25583"/>
  <c r="C4" i="25583"/>
  <c r="D4" i="25583" s="1"/>
  <c r="C12" i="25583"/>
  <c r="B9" i="25583"/>
  <c r="C8" i="25580"/>
  <c r="C9" i="25580"/>
  <c r="D9" i="25580"/>
  <c r="C10" i="25580"/>
  <c r="D10" i="25580"/>
  <c r="C11" i="25580"/>
  <c r="D11" i="25580"/>
  <c r="E11" i="25580"/>
  <c r="C12" i="25580"/>
  <c r="D12" i="25580"/>
  <c r="E12" i="25580"/>
  <c r="C13" i="25580"/>
  <c r="D13" i="25580"/>
  <c r="E13" i="25580"/>
  <c r="C14" i="25580"/>
  <c r="D14" i="25580"/>
  <c r="E14" i="25580"/>
  <c r="C15" i="25580"/>
  <c r="D15" i="25580"/>
  <c r="E15" i="25580"/>
  <c r="C16" i="25580"/>
  <c r="D16" i="25580"/>
  <c r="E16" i="25580"/>
  <c r="C17" i="25580"/>
  <c r="D17" i="25580"/>
  <c r="E17" i="25580"/>
  <c r="C18" i="25580"/>
  <c r="D18" i="25580"/>
  <c r="E18" i="25580"/>
  <c r="C19" i="25580"/>
  <c r="D19" i="25580"/>
  <c r="E19" i="25580"/>
  <c r="C20" i="25580"/>
  <c r="D20" i="25580"/>
  <c r="E20" i="25580"/>
  <c r="F20" i="25580"/>
  <c r="C21" i="25580"/>
  <c r="D21" i="25580"/>
  <c r="E21" i="25580"/>
  <c r="F21" i="25580"/>
  <c r="C22" i="25580"/>
  <c r="D22" i="25580"/>
  <c r="E22" i="25580"/>
  <c r="F22" i="25580"/>
  <c r="C23" i="25580"/>
  <c r="D23" i="25580"/>
  <c r="E23" i="25580"/>
  <c r="F23" i="25580"/>
  <c r="C24" i="25580"/>
  <c r="D24" i="25580"/>
  <c r="E24" i="25580"/>
  <c r="F24" i="25580"/>
  <c r="C25" i="25580"/>
  <c r="D25" i="25580"/>
  <c r="E25" i="25580"/>
  <c r="F25" i="25580"/>
  <c r="C26" i="25580"/>
  <c r="D26" i="25580"/>
  <c r="E26" i="25580"/>
  <c r="F26" i="25580"/>
  <c r="C27" i="25580"/>
  <c r="D27" i="25580"/>
  <c r="E27" i="25580"/>
  <c r="F27" i="25580"/>
  <c r="C28" i="25580"/>
  <c r="D28" i="25580"/>
  <c r="E28" i="25580"/>
  <c r="F28" i="25580"/>
  <c r="C29" i="25580"/>
  <c r="D29" i="25580"/>
  <c r="E29" i="25580"/>
  <c r="F29" i="25580"/>
  <c r="C30" i="25580"/>
  <c r="D30" i="25580"/>
  <c r="E30" i="25580"/>
  <c r="F30" i="25580"/>
  <c r="C31" i="25580"/>
  <c r="D31" i="25580"/>
  <c r="E31" i="25580"/>
  <c r="F31" i="25580"/>
  <c r="C32" i="25580"/>
  <c r="D32" i="25580"/>
  <c r="E32" i="25580"/>
  <c r="F32" i="25580"/>
  <c r="G32" i="25580"/>
  <c r="C33" i="25580"/>
  <c r="D33" i="25580"/>
  <c r="E33" i="25580"/>
  <c r="F33" i="25580"/>
  <c r="G33" i="25580"/>
  <c r="C34" i="25580"/>
  <c r="D34" i="25580"/>
  <c r="E34" i="25580"/>
  <c r="F34" i="25580"/>
  <c r="G34" i="25580"/>
  <c r="C35" i="25580"/>
  <c r="D35" i="25580"/>
  <c r="E35" i="25580"/>
  <c r="F35" i="25580"/>
  <c r="G35" i="25580"/>
  <c r="C36" i="25580"/>
  <c r="D36" i="25580"/>
  <c r="E36" i="25580"/>
  <c r="F36" i="25580"/>
  <c r="G36" i="25580"/>
  <c r="C37" i="25580"/>
  <c r="D37" i="25580"/>
  <c r="E37" i="25580"/>
  <c r="F37" i="25580"/>
  <c r="G37" i="25580"/>
  <c r="C38" i="25580"/>
  <c r="D38" i="25580"/>
  <c r="E38" i="25580"/>
  <c r="F38" i="25580"/>
  <c r="G38" i="25580"/>
  <c r="C39" i="25580"/>
  <c r="D39" i="25580"/>
  <c r="E39" i="25580"/>
  <c r="F39" i="25580"/>
  <c r="G39" i="25580"/>
  <c r="C40" i="25580"/>
  <c r="D40" i="25580"/>
  <c r="E40" i="25580"/>
  <c r="F40" i="25580"/>
  <c r="G40" i="25580"/>
  <c r="C41" i="25580"/>
  <c r="D41" i="25580"/>
  <c r="E41" i="25580"/>
  <c r="F41" i="25580"/>
  <c r="G41" i="25580"/>
  <c r="C42" i="25580"/>
  <c r="D42" i="25580"/>
  <c r="E42" i="25580"/>
  <c r="F42" i="25580"/>
  <c r="G42" i="25580"/>
  <c r="C43" i="25580"/>
  <c r="D43" i="25580"/>
  <c r="E43" i="25580"/>
  <c r="F43" i="25580"/>
  <c r="G43" i="25580"/>
  <c r="C44" i="25580"/>
  <c r="D44" i="25580"/>
  <c r="E44" i="25580"/>
  <c r="F44" i="25580"/>
  <c r="G44" i="25580"/>
  <c r="C45" i="25580"/>
  <c r="D45" i="25580"/>
  <c r="E45" i="25580"/>
  <c r="F45" i="25580"/>
  <c r="G45" i="25580"/>
  <c r="C46" i="25580"/>
  <c r="D46" i="25580"/>
  <c r="E46" i="25580"/>
  <c r="F46" i="25580"/>
  <c r="G46" i="25580"/>
  <c r="C47" i="25580"/>
  <c r="D47" i="25580"/>
  <c r="E47" i="25580"/>
  <c r="F47" i="25580"/>
  <c r="G47" i="25580"/>
  <c r="C48" i="25580"/>
  <c r="D48" i="25580"/>
  <c r="E48" i="25580"/>
  <c r="F48" i="25580"/>
  <c r="G48" i="25580"/>
  <c r="C49" i="25580"/>
  <c r="D49" i="25580"/>
  <c r="E49" i="25580"/>
  <c r="F49" i="25580"/>
  <c r="G49" i="25580"/>
  <c r="C50" i="25580"/>
  <c r="D50" i="25580"/>
  <c r="E50" i="25580"/>
  <c r="F50" i="25580"/>
  <c r="G50" i="25580"/>
  <c r="C52" i="25580"/>
  <c r="D52" i="25580"/>
  <c r="E52" i="25580"/>
  <c r="F52" i="25580"/>
  <c r="G52" i="25580"/>
  <c r="C53" i="25580"/>
  <c r="D53" i="25580"/>
  <c r="E53" i="25580"/>
  <c r="F53" i="25580"/>
  <c r="G53" i="25580"/>
  <c r="C54" i="25580"/>
  <c r="D54" i="25580"/>
  <c r="E54" i="25580"/>
  <c r="F54" i="25580"/>
  <c r="G54" i="25580"/>
  <c r="C55" i="25580"/>
  <c r="D55" i="25580"/>
  <c r="E55" i="25580"/>
  <c r="F55" i="25580"/>
  <c r="G55" i="25580"/>
  <c r="C56" i="25580"/>
  <c r="D56" i="25580"/>
  <c r="E56" i="25580"/>
  <c r="F56" i="25580"/>
  <c r="G56" i="25580"/>
  <c r="C57" i="25580"/>
  <c r="D57" i="25580"/>
  <c r="E57" i="25580"/>
  <c r="F57" i="25580"/>
  <c r="G57" i="25580"/>
  <c r="C58" i="25580"/>
  <c r="D58" i="25580"/>
  <c r="E58" i="25580"/>
  <c r="F58" i="25580"/>
  <c r="G58" i="25580"/>
  <c r="C8" i="3584"/>
  <c r="C9" i="3584"/>
  <c r="D9" i="3584"/>
  <c r="C10" i="3584"/>
  <c r="D10" i="3584"/>
  <c r="C11" i="3584"/>
  <c r="D11" i="3584"/>
  <c r="E11" i="3584"/>
  <c r="C12" i="3584"/>
  <c r="D12" i="3584"/>
  <c r="E12" i="3584"/>
  <c r="C13" i="3584"/>
  <c r="D13" i="3584"/>
  <c r="E13" i="3584"/>
  <c r="C14" i="3584"/>
  <c r="D14" i="3584"/>
  <c r="E14" i="3584"/>
  <c r="C15" i="3584"/>
  <c r="D15" i="3584"/>
  <c r="E15" i="3584"/>
  <c r="C16" i="3584"/>
  <c r="D16" i="3584"/>
  <c r="E16" i="3584"/>
  <c r="C17" i="3584"/>
  <c r="D17" i="3584"/>
  <c r="E17" i="3584"/>
  <c r="C18" i="3584"/>
  <c r="D18" i="3584"/>
  <c r="E18" i="3584"/>
  <c r="C19" i="3584"/>
  <c r="D19" i="3584"/>
  <c r="E19" i="3584"/>
  <c r="C20" i="3584"/>
  <c r="D20" i="3584"/>
  <c r="E20" i="3584"/>
  <c r="F20" i="3584"/>
  <c r="C21" i="3584"/>
  <c r="D21" i="3584"/>
  <c r="E21" i="3584"/>
  <c r="F21" i="3584"/>
  <c r="C22" i="3584"/>
  <c r="D22" i="3584"/>
  <c r="E22" i="3584"/>
  <c r="F22" i="3584"/>
  <c r="C23" i="3584"/>
  <c r="D23" i="3584"/>
  <c r="E23" i="3584"/>
  <c r="F23" i="3584"/>
  <c r="C24" i="3584"/>
  <c r="D24" i="3584"/>
  <c r="E24" i="3584"/>
  <c r="F24" i="3584"/>
  <c r="C25" i="3584"/>
  <c r="D25" i="3584"/>
  <c r="E25" i="3584"/>
  <c r="F25" i="3584"/>
  <c r="C26" i="3584"/>
  <c r="D26" i="3584"/>
  <c r="E26" i="3584"/>
  <c r="F26" i="3584"/>
  <c r="C27" i="3584"/>
  <c r="D27" i="3584"/>
  <c r="E27" i="3584"/>
  <c r="F27" i="3584"/>
  <c r="C28" i="3584"/>
  <c r="D28" i="3584"/>
  <c r="E28" i="3584"/>
  <c r="F28" i="3584"/>
  <c r="C29" i="3584"/>
  <c r="D29" i="3584"/>
  <c r="E29" i="3584"/>
  <c r="F29" i="3584"/>
  <c r="C30" i="3584"/>
  <c r="D30" i="3584"/>
  <c r="E30" i="3584"/>
  <c r="F30" i="3584"/>
  <c r="C31" i="3584"/>
  <c r="D31" i="3584"/>
  <c r="E31" i="3584"/>
  <c r="F31" i="3584"/>
  <c r="C32" i="3584"/>
  <c r="D32" i="3584"/>
  <c r="E32" i="3584"/>
  <c r="F32" i="3584"/>
  <c r="G32" i="3584"/>
  <c r="C33" i="3584"/>
  <c r="D33" i="3584"/>
  <c r="E33" i="3584"/>
  <c r="F33" i="3584"/>
  <c r="G33" i="3584"/>
  <c r="C34" i="3584"/>
  <c r="D34" i="3584"/>
  <c r="E34" i="3584"/>
  <c r="F34" i="3584"/>
  <c r="G34" i="3584"/>
  <c r="C35" i="3584"/>
  <c r="D35" i="3584"/>
  <c r="E35" i="3584"/>
  <c r="F35" i="3584"/>
  <c r="G35" i="3584"/>
  <c r="C36" i="3584"/>
  <c r="D36" i="3584"/>
  <c r="E36" i="3584"/>
  <c r="F36" i="3584"/>
  <c r="G36" i="3584"/>
  <c r="C37" i="3584"/>
  <c r="D37" i="3584"/>
  <c r="E37" i="3584"/>
  <c r="F37" i="3584"/>
  <c r="G37" i="3584"/>
  <c r="C38" i="3584"/>
  <c r="D38" i="3584"/>
  <c r="E38" i="3584"/>
  <c r="F38" i="3584"/>
  <c r="G38" i="3584"/>
  <c r="C39" i="3584"/>
  <c r="D39" i="3584"/>
  <c r="E39" i="3584"/>
  <c r="F39" i="3584"/>
  <c r="G39" i="3584"/>
  <c r="C40" i="3584"/>
  <c r="D40" i="3584"/>
  <c r="E40" i="3584"/>
  <c r="F40" i="3584"/>
  <c r="G40" i="3584"/>
  <c r="C41" i="3584"/>
  <c r="D41" i="3584"/>
  <c r="E41" i="3584"/>
  <c r="F41" i="3584"/>
  <c r="G41" i="3584"/>
  <c r="C42" i="3584"/>
  <c r="D42" i="3584"/>
  <c r="E42" i="3584"/>
  <c r="F42" i="3584"/>
  <c r="G42" i="3584"/>
  <c r="C43" i="3584"/>
  <c r="D43" i="3584"/>
  <c r="E43" i="3584"/>
  <c r="F43" i="3584"/>
  <c r="G43" i="3584"/>
  <c r="C44" i="3584"/>
  <c r="D44" i="3584"/>
  <c r="E44" i="3584"/>
  <c r="F44" i="3584"/>
  <c r="G44" i="3584"/>
  <c r="C45" i="3584"/>
  <c r="D45" i="3584"/>
  <c r="E45" i="3584"/>
  <c r="F45" i="3584"/>
  <c r="G45" i="3584"/>
  <c r="C46" i="3584"/>
  <c r="D46" i="3584"/>
  <c r="E46" i="3584"/>
  <c r="F46" i="3584"/>
  <c r="G46" i="3584"/>
  <c r="C47" i="3584"/>
  <c r="D47" i="3584"/>
  <c r="E47" i="3584"/>
  <c r="F47" i="3584"/>
  <c r="G47" i="3584"/>
  <c r="C48" i="3584"/>
  <c r="D48" i="3584"/>
  <c r="E48" i="3584"/>
  <c r="F48" i="3584"/>
  <c r="G48" i="3584"/>
  <c r="C49" i="3584"/>
  <c r="D49" i="3584"/>
  <c r="E49" i="3584"/>
  <c r="F49" i="3584"/>
  <c r="G49" i="3584"/>
  <c r="C50" i="3584"/>
  <c r="D50" i="3584"/>
  <c r="E50" i="3584"/>
  <c r="F50" i="3584"/>
  <c r="G50" i="3584"/>
  <c r="C51" i="3584"/>
  <c r="D51" i="3584"/>
  <c r="E51" i="3584"/>
  <c r="F51" i="3584"/>
  <c r="G51" i="3584"/>
  <c r="C52" i="3584"/>
  <c r="D52" i="3584"/>
  <c r="E52" i="3584"/>
  <c r="F52" i="3584"/>
  <c r="G52" i="3584"/>
  <c r="C53" i="3584"/>
  <c r="D53" i="3584"/>
  <c r="E53" i="3584"/>
  <c r="F53" i="3584"/>
  <c r="G53" i="3584"/>
  <c r="C54" i="3584"/>
  <c r="D54" i="3584"/>
  <c r="E54" i="3584"/>
  <c r="F54" i="3584"/>
  <c r="G54" i="3584"/>
  <c r="C55" i="3584"/>
  <c r="D55" i="3584"/>
  <c r="E55" i="3584"/>
  <c r="F55" i="3584"/>
  <c r="G55" i="3584"/>
  <c r="C56" i="3584"/>
  <c r="D56" i="3584"/>
  <c r="E56" i="3584"/>
  <c r="F56" i="3584"/>
  <c r="G56" i="3584"/>
  <c r="C57" i="3584"/>
  <c r="D57" i="3584"/>
  <c r="E57" i="3584"/>
  <c r="F57" i="3584"/>
  <c r="G57" i="3584"/>
  <c r="C58" i="3584"/>
  <c r="D58" i="3584"/>
  <c r="E58" i="3584"/>
  <c r="F58" i="3584"/>
  <c r="G58" i="3584"/>
  <c r="C8" i="1024"/>
  <c r="C9" i="1024"/>
  <c r="D9" i="1024"/>
  <c r="C10" i="1024"/>
  <c r="D10" i="1024"/>
  <c r="C11" i="1024"/>
  <c r="D11" i="1024"/>
  <c r="E11" i="1024"/>
  <c r="C12" i="1024"/>
  <c r="D12" i="1024"/>
  <c r="E12" i="1024"/>
  <c r="C13" i="1024"/>
  <c r="D13" i="1024"/>
  <c r="E13" i="1024"/>
  <c r="C14" i="1024"/>
  <c r="D14" i="1024"/>
  <c r="E14" i="1024"/>
  <c r="C15" i="1024"/>
  <c r="D15" i="1024"/>
  <c r="E15" i="1024"/>
  <c r="C16" i="1024"/>
  <c r="D16" i="1024"/>
  <c r="E16" i="1024"/>
  <c r="C17" i="1024"/>
  <c r="D17" i="1024"/>
  <c r="E17" i="1024"/>
  <c r="C18" i="1024"/>
  <c r="D18" i="1024"/>
  <c r="E18" i="1024"/>
  <c r="C19" i="1024"/>
  <c r="D19" i="1024"/>
  <c r="E19" i="1024"/>
  <c r="C20" i="1024"/>
  <c r="D20" i="1024"/>
  <c r="E20" i="1024"/>
  <c r="F20" i="1024"/>
  <c r="C21" i="1024"/>
  <c r="D21" i="1024"/>
  <c r="E21" i="1024"/>
  <c r="F21" i="1024"/>
  <c r="C22" i="1024"/>
  <c r="D22" i="1024"/>
  <c r="E22" i="1024"/>
  <c r="F22" i="1024"/>
  <c r="C23" i="1024"/>
  <c r="D23" i="1024"/>
  <c r="E23" i="1024"/>
  <c r="F23" i="1024"/>
  <c r="C24" i="1024"/>
  <c r="D24" i="1024"/>
  <c r="E24" i="1024"/>
  <c r="F24" i="1024"/>
  <c r="C25" i="1024"/>
  <c r="D25" i="1024"/>
  <c r="E25" i="1024"/>
  <c r="F25" i="1024"/>
  <c r="C26" i="1024"/>
  <c r="D26" i="1024"/>
  <c r="E26" i="1024"/>
  <c r="F26" i="1024"/>
  <c r="C27" i="1024"/>
  <c r="D27" i="1024"/>
  <c r="E27" i="1024"/>
  <c r="F27" i="1024"/>
  <c r="C28" i="1024"/>
  <c r="D28" i="1024"/>
  <c r="E28" i="1024"/>
  <c r="F28" i="1024"/>
  <c r="C29" i="1024"/>
  <c r="D29" i="1024"/>
  <c r="E29" i="1024"/>
  <c r="F29" i="1024"/>
  <c r="C30" i="1024"/>
  <c r="D30" i="1024"/>
  <c r="E30" i="1024"/>
  <c r="F30" i="1024"/>
  <c r="C31" i="1024"/>
  <c r="D31" i="1024"/>
  <c r="E31" i="1024"/>
  <c r="F31" i="1024"/>
  <c r="C32" i="1024"/>
  <c r="D32" i="1024"/>
  <c r="E32" i="1024"/>
  <c r="F32" i="1024"/>
  <c r="G32" i="1024"/>
  <c r="C33" i="1024"/>
  <c r="D33" i="1024"/>
  <c r="E33" i="1024"/>
  <c r="F33" i="1024"/>
  <c r="G33" i="1024"/>
  <c r="C34" i="1024"/>
  <c r="D34" i="1024"/>
  <c r="E34" i="1024"/>
  <c r="F34" i="1024"/>
  <c r="G34" i="1024"/>
  <c r="C35" i="1024"/>
  <c r="D35" i="1024"/>
  <c r="E35" i="1024"/>
  <c r="F35" i="1024"/>
  <c r="G35" i="1024"/>
  <c r="C36" i="1024"/>
  <c r="D36" i="1024"/>
  <c r="E36" i="1024"/>
  <c r="F36" i="1024"/>
  <c r="G36" i="1024"/>
  <c r="C37" i="1024"/>
  <c r="D37" i="1024"/>
  <c r="E37" i="1024"/>
  <c r="F37" i="1024"/>
  <c r="G37" i="1024"/>
  <c r="C38" i="1024"/>
  <c r="D38" i="1024"/>
  <c r="E38" i="1024"/>
  <c r="F38" i="1024"/>
  <c r="G38" i="1024"/>
  <c r="C39" i="1024"/>
  <c r="D39" i="1024"/>
  <c r="E39" i="1024"/>
  <c r="F39" i="1024"/>
  <c r="G39" i="1024"/>
  <c r="C40" i="1024"/>
  <c r="D40" i="1024"/>
  <c r="E40" i="1024"/>
  <c r="F40" i="1024"/>
  <c r="G40" i="1024"/>
  <c r="C41" i="1024"/>
  <c r="D41" i="1024"/>
  <c r="E41" i="1024"/>
  <c r="F41" i="1024"/>
  <c r="G41" i="1024"/>
  <c r="C42" i="1024"/>
  <c r="D42" i="1024"/>
  <c r="E42" i="1024"/>
  <c r="F42" i="1024"/>
  <c r="G42" i="1024"/>
  <c r="C43" i="1024"/>
  <c r="D43" i="1024"/>
  <c r="E43" i="1024"/>
  <c r="F43" i="1024"/>
  <c r="G43" i="1024"/>
  <c r="C44" i="1024"/>
  <c r="D44" i="1024"/>
  <c r="E44" i="1024"/>
  <c r="F44" i="1024"/>
  <c r="G44" i="1024"/>
  <c r="C45" i="1024"/>
  <c r="D45" i="1024"/>
  <c r="E45" i="1024"/>
  <c r="F45" i="1024"/>
  <c r="G45" i="1024"/>
  <c r="C46" i="1024"/>
  <c r="D46" i="1024"/>
  <c r="E46" i="1024"/>
  <c r="F46" i="1024"/>
  <c r="G46" i="1024"/>
  <c r="C47" i="1024"/>
  <c r="D47" i="1024"/>
  <c r="E47" i="1024"/>
  <c r="F47" i="1024"/>
  <c r="G47" i="1024"/>
  <c r="C48" i="1024"/>
  <c r="D48" i="1024"/>
  <c r="E48" i="1024"/>
  <c r="F48" i="1024"/>
  <c r="G48" i="1024"/>
  <c r="C49" i="1024"/>
  <c r="D49" i="1024"/>
  <c r="E49" i="1024"/>
  <c r="F49" i="1024"/>
  <c r="G49" i="1024"/>
  <c r="C50" i="1024"/>
  <c r="D50" i="1024"/>
  <c r="E50" i="1024"/>
  <c r="F50" i="1024"/>
  <c r="G50" i="1024"/>
  <c r="C51" i="1024"/>
  <c r="D51" i="1024"/>
  <c r="E51" i="1024"/>
  <c r="F51" i="1024"/>
  <c r="G51" i="1024"/>
  <c r="C52" i="1024"/>
  <c r="D52" i="1024"/>
  <c r="E52" i="1024"/>
  <c r="F52" i="1024"/>
  <c r="G52" i="1024"/>
  <c r="C53" i="1024"/>
  <c r="D53" i="1024"/>
  <c r="E53" i="1024"/>
  <c r="F53" i="1024"/>
  <c r="G53" i="1024"/>
  <c r="C54" i="1024"/>
  <c r="D54" i="1024"/>
  <c r="E54" i="1024"/>
  <c r="F54" i="1024"/>
  <c r="G54" i="1024"/>
  <c r="C55" i="1024"/>
  <c r="D55" i="1024"/>
  <c r="E55" i="1024"/>
  <c r="F55" i="1024"/>
  <c r="G55" i="1024"/>
  <c r="C56" i="1024"/>
  <c r="D56" i="1024"/>
  <c r="E56" i="1024"/>
  <c r="F56" i="1024"/>
  <c r="G56" i="1024"/>
  <c r="C57" i="1024"/>
  <c r="D57" i="1024"/>
  <c r="E57" i="1024"/>
  <c r="F57" i="1024"/>
  <c r="G57" i="1024"/>
  <c r="C58" i="1024"/>
  <c r="D58" i="1024"/>
  <c r="E58" i="1024"/>
  <c r="F58" i="1024"/>
  <c r="G58" i="1024"/>
  <c r="C8" i="2316"/>
  <c r="C9" i="2316"/>
  <c r="D9" i="2316"/>
  <c r="C10" i="2316"/>
  <c r="D10" i="2316"/>
  <c r="C11" i="2316"/>
  <c r="D11" i="2316"/>
  <c r="E11" i="2316"/>
  <c r="C12" i="2316"/>
  <c r="D12" i="2316"/>
  <c r="E12" i="2316"/>
  <c r="C13" i="2316"/>
  <c r="D13" i="2316"/>
  <c r="E13" i="2316"/>
  <c r="C14" i="2316"/>
  <c r="D14" i="2316"/>
  <c r="E14" i="2316"/>
  <c r="C15" i="2316"/>
  <c r="D15" i="2316"/>
  <c r="E15" i="2316"/>
  <c r="C16" i="2316"/>
  <c r="D16" i="2316"/>
  <c r="E16" i="2316"/>
  <c r="C17" i="2316"/>
  <c r="D17" i="2316"/>
  <c r="E17" i="2316"/>
  <c r="C18" i="2316"/>
  <c r="D18" i="2316"/>
  <c r="E18" i="2316"/>
  <c r="C19" i="2316"/>
  <c r="D19" i="2316"/>
  <c r="E19" i="2316"/>
  <c r="C20" i="2316"/>
  <c r="D20" i="2316"/>
  <c r="E20" i="2316"/>
  <c r="F20" i="2316"/>
  <c r="C21" i="2316"/>
  <c r="D21" i="2316"/>
  <c r="E21" i="2316"/>
  <c r="F21" i="2316"/>
  <c r="C22" i="2316"/>
  <c r="D22" i="2316"/>
  <c r="E22" i="2316"/>
  <c r="F22" i="2316"/>
  <c r="C23" i="2316"/>
  <c r="D23" i="2316"/>
  <c r="E23" i="2316"/>
  <c r="F23" i="2316"/>
  <c r="C24" i="2316"/>
  <c r="D24" i="2316"/>
  <c r="E24" i="2316"/>
  <c r="F24" i="2316"/>
  <c r="C25" i="2316"/>
  <c r="D25" i="2316"/>
  <c r="E25" i="2316"/>
  <c r="F25" i="2316"/>
  <c r="C26" i="2316"/>
  <c r="D26" i="2316"/>
  <c r="E26" i="2316"/>
  <c r="F26" i="2316"/>
  <c r="C27" i="2316"/>
  <c r="D27" i="2316"/>
  <c r="E27" i="2316"/>
  <c r="F27" i="2316"/>
  <c r="C28" i="2316"/>
  <c r="D28" i="2316"/>
  <c r="E28" i="2316"/>
  <c r="F28" i="2316"/>
  <c r="C29" i="2316"/>
  <c r="D29" i="2316"/>
  <c r="E29" i="2316"/>
  <c r="F29" i="2316"/>
  <c r="C30" i="2316"/>
  <c r="D30" i="2316"/>
  <c r="E30" i="2316"/>
  <c r="F30" i="2316"/>
  <c r="C31" i="2316"/>
  <c r="D31" i="2316"/>
  <c r="E31" i="2316"/>
  <c r="F31" i="2316"/>
  <c r="C32" i="2316"/>
  <c r="D32" i="2316"/>
  <c r="E32" i="2316"/>
  <c r="F32" i="2316"/>
  <c r="G32" i="2316"/>
  <c r="C33" i="2316"/>
  <c r="D33" i="2316"/>
  <c r="E33" i="2316"/>
  <c r="F33" i="2316"/>
  <c r="G33" i="2316"/>
  <c r="C34" i="2316"/>
  <c r="D34" i="2316"/>
  <c r="E34" i="2316"/>
  <c r="F34" i="2316"/>
  <c r="G34" i="2316"/>
  <c r="C35" i="2316"/>
  <c r="D35" i="2316"/>
  <c r="E35" i="2316"/>
  <c r="F35" i="2316"/>
  <c r="G35" i="2316"/>
  <c r="C36" i="2316"/>
  <c r="D36" i="2316"/>
  <c r="E36" i="2316"/>
  <c r="F36" i="2316"/>
  <c r="G36" i="2316"/>
  <c r="C37" i="2316"/>
  <c r="D37" i="2316"/>
  <c r="E37" i="2316"/>
  <c r="F37" i="2316"/>
  <c r="G37" i="2316"/>
  <c r="C38" i="2316"/>
  <c r="D38" i="2316"/>
  <c r="E38" i="2316"/>
  <c r="F38" i="2316"/>
  <c r="G38" i="2316"/>
  <c r="C39" i="2316"/>
  <c r="D39" i="2316"/>
  <c r="E39" i="2316"/>
  <c r="F39" i="2316"/>
  <c r="G39" i="2316"/>
  <c r="C40" i="2316"/>
  <c r="D40" i="2316"/>
  <c r="E40" i="2316"/>
  <c r="F40" i="2316"/>
  <c r="G40" i="2316"/>
  <c r="C41" i="2316"/>
  <c r="D41" i="2316"/>
  <c r="E41" i="2316"/>
  <c r="F41" i="2316"/>
  <c r="G41" i="2316"/>
  <c r="C42" i="2316"/>
  <c r="D42" i="2316"/>
  <c r="E42" i="2316"/>
  <c r="F42" i="2316"/>
  <c r="G42" i="2316"/>
  <c r="C43" i="2316"/>
  <c r="D43" i="2316"/>
  <c r="E43" i="2316"/>
  <c r="F43" i="2316"/>
  <c r="G43" i="2316"/>
  <c r="C44" i="2316"/>
  <c r="D44" i="2316"/>
  <c r="E44" i="2316"/>
  <c r="F44" i="2316"/>
  <c r="G44" i="2316"/>
  <c r="C45" i="2316"/>
  <c r="D45" i="2316"/>
  <c r="E45" i="2316"/>
  <c r="F45" i="2316"/>
  <c r="G45" i="2316"/>
  <c r="C46" i="2316"/>
  <c r="D46" i="2316"/>
  <c r="E46" i="2316"/>
  <c r="F46" i="2316"/>
  <c r="G46" i="2316"/>
  <c r="C47" i="2316"/>
  <c r="D47" i="2316"/>
  <c r="E47" i="2316"/>
  <c r="F47" i="2316"/>
  <c r="G47" i="2316"/>
  <c r="C48" i="2316"/>
  <c r="D48" i="2316"/>
  <c r="E48" i="2316"/>
  <c r="F48" i="2316"/>
  <c r="G48" i="2316"/>
  <c r="C49" i="2316"/>
  <c r="D49" i="2316"/>
  <c r="E49" i="2316"/>
  <c r="F49" i="2316"/>
  <c r="G49" i="2316"/>
  <c r="C50" i="2316"/>
  <c r="D50" i="2316"/>
  <c r="E50" i="2316"/>
  <c r="F50" i="2316"/>
  <c r="G50" i="2316"/>
  <c r="C51" i="2316"/>
  <c r="D51" i="2316"/>
  <c r="E51" i="2316"/>
  <c r="F51" i="2316"/>
  <c r="G51" i="2316"/>
  <c r="C52" i="2316"/>
  <c r="D52" i="2316"/>
  <c r="E52" i="2316"/>
  <c r="F52" i="2316"/>
  <c r="G52" i="2316"/>
  <c r="C53" i="2316"/>
  <c r="D53" i="2316"/>
  <c r="E53" i="2316"/>
  <c r="F53" i="2316"/>
  <c r="G53" i="2316"/>
  <c r="C54" i="2316"/>
  <c r="D54" i="2316"/>
  <c r="E54" i="2316"/>
  <c r="F54" i="2316"/>
  <c r="G54" i="2316"/>
  <c r="C55" i="2316"/>
  <c r="D55" i="2316"/>
  <c r="E55" i="2316"/>
  <c r="F55" i="2316"/>
  <c r="G55" i="2316"/>
  <c r="C56" i="2316"/>
  <c r="D56" i="2316"/>
  <c r="E56" i="2316"/>
  <c r="F56" i="2316"/>
  <c r="G56" i="2316"/>
  <c r="C57" i="2316"/>
  <c r="D57" i="2316"/>
  <c r="E57" i="2316"/>
  <c r="F57" i="2316"/>
  <c r="G57" i="2316"/>
  <c r="C58" i="2316"/>
  <c r="D58" i="2316"/>
  <c r="E58" i="2316"/>
  <c r="F58" i="2316"/>
  <c r="G58" i="2316"/>
  <c r="C8" i="4888"/>
  <c r="B9" i="4888"/>
  <c r="C9" i="4888" s="1"/>
  <c r="C13" i="4888"/>
  <c r="B14" i="4888"/>
  <c r="G38" i="4888" s="1"/>
  <c r="C15" i="4888"/>
  <c r="C16" i="4888"/>
  <c r="D16" i="4888"/>
  <c r="C17" i="4888"/>
  <c r="D17" i="4888"/>
  <c r="C18" i="4888"/>
  <c r="D18" i="4888"/>
  <c r="C19" i="4888"/>
  <c r="D19" i="4888"/>
  <c r="B20" i="4888"/>
  <c r="C20" i="4888" s="1"/>
  <c r="C22" i="4888"/>
  <c r="C23" i="4888"/>
  <c r="D23" i="4888"/>
  <c r="E23" i="4888"/>
  <c r="C24" i="4888"/>
  <c r="D24" i="4888"/>
  <c r="E24" i="4888"/>
  <c r="C25" i="4888"/>
  <c r="D25" i="4888"/>
  <c r="E25" i="4888"/>
  <c r="F25" i="4888"/>
  <c r="C26" i="4888"/>
  <c r="D26" i="4888"/>
  <c r="E26" i="4888"/>
  <c r="C27" i="4888"/>
  <c r="D27" i="4888"/>
  <c r="E27" i="4888"/>
  <c r="F27" i="4888"/>
  <c r="C28" i="4888"/>
  <c r="D28" i="4888"/>
  <c r="E28" i="4888"/>
  <c r="F28" i="4888"/>
  <c r="C29" i="4888"/>
  <c r="D29" i="4888"/>
  <c r="E29" i="4888"/>
  <c r="F29" i="4888"/>
  <c r="C30" i="4888"/>
  <c r="D30" i="4888"/>
  <c r="E30" i="4888"/>
  <c r="F30" i="4888"/>
  <c r="C31" i="4888"/>
  <c r="D31" i="4888"/>
  <c r="E31" i="4888"/>
  <c r="F31" i="4888"/>
  <c r="C32" i="4888"/>
  <c r="D32" i="4888"/>
  <c r="E32" i="4888"/>
  <c r="G32" i="4888"/>
  <c r="B33" i="4888"/>
  <c r="B34" i="4888"/>
  <c r="C37" i="4888"/>
  <c r="F37" i="4888"/>
  <c r="G37" i="4888"/>
  <c r="C38" i="4888"/>
  <c r="D38" i="4888"/>
  <c r="F38" i="4888"/>
  <c r="B39" i="4888"/>
  <c r="D39" i="4888" s="1"/>
  <c r="C40" i="4888"/>
  <c r="F40" i="4888"/>
  <c r="G40" i="4888"/>
  <c r="C41" i="4888"/>
  <c r="D41" i="4888"/>
  <c r="F41" i="4888"/>
  <c r="G41" i="4888"/>
  <c r="C42" i="4888"/>
  <c r="D42" i="4888"/>
  <c r="F42" i="4888"/>
  <c r="G42" i="4888"/>
  <c r="C43" i="4888"/>
  <c r="D43" i="4888"/>
  <c r="F43" i="4888"/>
  <c r="G43" i="4888"/>
  <c r="C44" i="4888"/>
  <c r="D44" i="4888"/>
  <c r="F44" i="4888"/>
  <c r="C45" i="4888"/>
  <c r="D45" i="4888"/>
  <c r="C46" i="4888"/>
  <c r="D46" i="4888"/>
  <c r="G46" i="4888"/>
  <c r="C47" i="4888"/>
  <c r="D47" i="4888"/>
  <c r="E47" i="4888"/>
  <c r="G47" i="4888"/>
  <c r="C48" i="4888"/>
  <c r="D48" i="4888"/>
  <c r="E48" i="4888"/>
  <c r="G48" i="4888"/>
  <c r="C49" i="4888"/>
  <c r="D49" i="4888"/>
  <c r="E49" i="4888"/>
  <c r="F49" i="4888"/>
  <c r="G49" i="4888"/>
  <c r="B50" i="4888"/>
  <c r="E50" i="4888" s="1"/>
  <c r="C51" i="4888"/>
  <c r="E51" i="4888"/>
  <c r="G51" i="4888"/>
  <c r="B52" i="4888"/>
  <c r="C52" i="4888" s="1"/>
  <c r="C63" i="4888"/>
  <c r="B64" i="4888"/>
  <c r="C64" i="4888" s="1"/>
  <c r="C8" i="20994"/>
  <c r="C9" i="20994"/>
  <c r="D9" i="20994"/>
  <c r="C10" i="20994"/>
  <c r="D10" i="20994"/>
  <c r="C11" i="20994"/>
  <c r="D11" i="20994"/>
  <c r="E11" i="20994"/>
  <c r="C12" i="20994"/>
  <c r="D12" i="20994"/>
  <c r="E12" i="20994"/>
  <c r="C13" i="20994"/>
  <c r="D13" i="20994"/>
  <c r="E13" i="20994"/>
  <c r="C14" i="20994"/>
  <c r="D14" i="20994"/>
  <c r="E14" i="20994"/>
  <c r="C15" i="20994"/>
  <c r="D15" i="20994"/>
  <c r="E15" i="20994"/>
  <c r="C16" i="20994"/>
  <c r="D16" i="20994"/>
  <c r="E16" i="20994"/>
  <c r="C17" i="20994"/>
  <c r="D17" i="20994"/>
  <c r="E17" i="20994"/>
  <c r="C18" i="20994"/>
  <c r="D18" i="20994"/>
  <c r="E18" i="20994"/>
  <c r="C19" i="20994"/>
  <c r="D19" i="20994"/>
  <c r="E19" i="20994"/>
  <c r="C20" i="20994"/>
  <c r="D20" i="20994"/>
  <c r="E20" i="20994"/>
  <c r="F20" i="20994"/>
  <c r="C21" i="20994"/>
  <c r="D21" i="20994"/>
  <c r="E21" i="20994"/>
  <c r="F21" i="20994"/>
  <c r="C22" i="20994"/>
  <c r="D22" i="20994"/>
  <c r="E22" i="20994"/>
  <c r="F22" i="20994"/>
  <c r="C23" i="20994"/>
  <c r="D23" i="20994"/>
  <c r="E23" i="20994"/>
  <c r="F23" i="20994"/>
  <c r="C24" i="20994"/>
  <c r="D24" i="20994"/>
  <c r="E24" i="20994"/>
  <c r="F24" i="20994"/>
  <c r="C25" i="20994"/>
  <c r="D25" i="20994"/>
  <c r="E25" i="20994"/>
  <c r="F25" i="20994"/>
  <c r="C26" i="20994"/>
  <c r="D26" i="20994"/>
  <c r="E26" i="20994"/>
  <c r="F26" i="20994"/>
  <c r="C27" i="20994"/>
  <c r="D27" i="20994"/>
  <c r="E27" i="20994"/>
  <c r="F27" i="20994"/>
  <c r="C28" i="20994"/>
  <c r="D28" i="20994"/>
  <c r="E28" i="20994"/>
  <c r="F28" i="20994"/>
  <c r="C29" i="20994"/>
  <c r="D29" i="20994"/>
  <c r="E29" i="20994"/>
  <c r="F29" i="20994"/>
  <c r="C30" i="20994"/>
  <c r="D30" i="20994"/>
  <c r="E30" i="20994"/>
  <c r="F30" i="20994"/>
  <c r="C31" i="20994"/>
  <c r="D31" i="20994"/>
  <c r="E31" i="20994"/>
  <c r="F31" i="20994"/>
  <c r="C32" i="20994"/>
  <c r="D32" i="20994"/>
  <c r="E32" i="20994"/>
  <c r="F32" i="20994"/>
  <c r="G32" i="20994"/>
  <c r="C33" i="20994"/>
  <c r="D33" i="20994"/>
  <c r="E33" i="20994"/>
  <c r="F33" i="20994"/>
  <c r="G33" i="20994"/>
  <c r="C34" i="20994"/>
  <c r="D34" i="20994"/>
  <c r="E34" i="20994"/>
  <c r="F34" i="20994"/>
  <c r="G34" i="20994"/>
  <c r="C35" i="20994"/>
  <c r="D35" i="20994"/>
  <c r="E35" i="20994"/>
  <c r="F35" i="20994"/>
  <c r="G35" i="20994"/>
  <c r="C36" i="20994"/>
  <c r="D36" i="20994"/>
  <c r="E36" i="20994"/>
  <c r="F36" i="20994"/>
  <c r="G36" i="20994"/>
  <c r="C37" i="20994"/>
  <c r="D37" i="20994"/>
  <c r="E37" i="20994"/>
  <c r="F37" i="20994"/>
  <c r="G37" i="20994"/>
  <c r="C38" i="20994"/>
  <c r="D38" i="20994"/>
  <c r="E38" i="20994"/>
  <c r="F38" i="20994"/>
  <c r="G38" i="20994"/>
  <c r="C39" i="20994"/>
  <c r="D39" i="20994"/>
  <c r="E39" i="20994"/>
  <c r="F39" i="20994"/>
  <c r="G39" i="20994"/>
  <c r="C40" i="20994"/>
  <c r="D40" i="20994"/>
  <c r="E40" i="20994"/>
  <c r="F40" i="20994"/>
  <c r="G40" i="20994"/>
  <c r="C41" i="20994"/>
  <c r="D41" i="20994"/>
  <c r="E41" i="20994"/>
  <c r="F41" i="20994"/>
  <c r="G41" i="20994"/>
  <c r="C42" i="20994"/>
  <c r="D42" i="20994"/>
  <c r="E42" i="20994"/>
  <c r="F42" i="20994"/>
  <c r="G42" i="20994"/>
  <c r="C43" i="20994"/>
  <c r="D43" i="20994"/>
  <c r="E43" i="20994"/>
  <c r="F43" i="20994"/>
  <c r="G43" i="20994"/>
  <c r="C44" i="20994"/>
  <c r="D44" i="20994"/>
  <c r="E44" i="20994"/>
  <c r="F44" i="20994"/>
  <c r="G44" i="20994"/>
  <c r="C45" i="20994"/>
  <c r="D45" i="20994"/>
  <c r="E45" i="20994"/>
  <c r="F45" i="20994"/>
  <c r="G45" i="20994"/>
  <c r="C46" i="20994"/>
  <c r="D46" i="20994"/>
  <c r="E46" i="20994"/>
  <c r="F46" i="20994"/>
  <c r="G46" i="20994"/>
  <c r="C47" i="20994"/>
  <c r="D47" i="20994"/>
  <c r="E47" i="20994"/>
  <c r="F47" i="20994"/>
  <c r="G47" i="20994"/>
  <c r="C48" i="20994"/>
  <c r="D48" i="20994"/>
  <c r="E48" i="20994"/>
  <c r="F48" i="20994"/>
  <c r="G48" i="20994"/>
  <c r="C49" i="20994"/>
  <c r="D49" i="20994"/>
  <c r="E49" i="20994"/>
  <c r="F49" i="20994"/>
  <c r="G49" i="20994"/>
  <c r="C50" i="20994"/>
  <c r="D50" i="20994"/>
  <c r="E50" i="20994"/>
  <c r="F50" i="20994"/>
  <c r="G50" i="20994"/>
  <c r="C51" i="20994"/>
  <c r="D51" i="20994"/>
  <c r="E51" i="20994"/>
  <c r="F51" i="20994"/>
  <c r="G51" i="20994"/>
  <c r="C52" i="20994"/>
  <c r="D52" i="20994"/>
  <c r="E52" i="20994"/>
  <c r="F52" i="20994"/>
  <c r="G52" i="20994"/>
  <c r="C53" i="20994"/>
  <c r="D53" i="20994"/>
  <c r="E53" i="20994"/>
  <c r="F53" i="20994"/>
  <c r="G53" i="20994"/>
  <c r="C54" i="20994"/>
  <c r="D54" i="20994"/>
  <c r="E54" i="20994"/>
  <c r="F54" i="20994"/>
  <c r="G54" i="20994"/>
  <c r="C55" i="20994"/>
  <c r="D55" i="20994"/>
  <c r="E55" i="20994"/>
  <c r="F55" i="20994"/>
  <c r="G55" i="20994"/>
  <c r="C56" i="20994"/>
  <c r="D56" i="20994"/>
  <c r="E56" i="20994"/>
  <c r="F56" i="20994"/>
  <c r="G56" i="20994"/>
  <c r="C57" i="20994"/>
  <c r="D57" i="20994"/>
  <c r="E57" i="20994"/>
  <c r="F57" i="20994"/>
  <c r="G57" i="20994"/>
  <c r="C58" i="20994"/>
  <c r="D58" i="20994"/>
  <c r="E58" i="20994"/>
  <c r="F58" i="20994"/>
  <c r="G58" i="20994"/>
  <c r="C8" i="768"/>
  <c r="C9" i="768"/>
  <c r="D9" i="768"/>
  <c r="C10" i="768"/>
  <c r="D10" i="768"/>
  <c r="C11" i="768"/>
  <c r="D11" i="768"/>
  <c r="E11" i="768"/>
  <c r="C12" i="768"/>
  <c r="D12" i="768"/>
  <c r="E12" i="768"/>
  <c r="C13" i="768"/>
  <c r="D13" i="768"/>
  <c r="E13" i="768"/>
  <c r="C14" i="768"/>
  <c r="D14" i="768"/>
  <c r="E14" i="768"/>
  <c r="C15" i="768"/>
  <c r="D15" i="768"/>
  <c r="E15" i="768"/>
  <c r="C16" i="768"/>
  <c r="D16" i="768"/>
  <c r="E16" i="768"/>
  <c r="C17" i="768"/>
  <c r="D17" i="768"/>
  <c r="E17" i="768"/>
  <c r="C18" i="768"/>
  <c r="D18" i="768"/>
  <c r="E18" i="768"/>
  <c r="C19" i="768"/>
  <c r="D19" i="768"/>
  <c r="E19" i="768"/>
  <c r="C20" i="768"/>
  <c r="D20" i="768"/>
  <c r="E20" i="768"/>
  <c r="F20" i="768"/>
  <c r="C21" i="768"/>
  <c r="D21" i="768"/>
  <c r="E21" i="768"/>
  <c r="F21" i="768"/>
  <c r="C22" i="768"/>
  <c r="D22" i="768"/>
  <c r="E22" i="768"/>
  <c r="F22" i="768"/>
  <c r="C23" i="768"/>
  <c r="D23" i="768"/>
  <c r="E23" i="768"/>
  <c r="F23" i="768"/>
  <c r="C24" i="768"/>
  <c r="D24" i="768"/>
  <c r="E24" i="768"/>
  <c r="F24" i="768"/>
  <c r="C25" i="768"/>
  <c r="D25" i="768"/>
  <c r="E25" i="768"/>
  <c r="F25" i="768"/>
  <c r="C26" i="768"/>
  <c r="D26" i="768"/>
  <c r="E26" i="768"/>
  <c r="F26" i="768"/>
  <c r="C27" i="768"/>
  <c r="D27" i="768"/>
  <c r="E27" i="768"/>
  <c r="F27" i="768"/>
  <c r="C28" i="768"/>
  <c r="D28" i="768"/>
  <c r="E28" i="768"/>
  <c r="F28" i="768"/>
  <c r="C29" i="768"/>
  <c r="D29" i="768"/>
  <c r="E29" i="768"/>
  <c r="F29" i="768"/>
  <c r="C30" i="768"/>
  <c r="D30" i="768"/>
  <c r="E30" i="768"/>
  <c r="F30" i="768"/>
  <c r="C31" i="768"/>
  <c r="D31" i="768"/>
  <c r="E31" i="768"/>
  <c r="F31" i="768"/>
  <c r="C32" i="768"/>
  <c r="D32" i="768"/>
  <c r="E32" i="768"/>
  <c r="F32" i="768"/>
  <c r="G32" i="768"/>
  <c r="C33" i="768"/>
  <c r="D33" i="768"/>
  <c r="E33" i="768"/>
  <c r="F33" i="768"/>
  <c r="G33" i="768"/>
  <c r="C34" i="768"/>
  <c r="D34" i="768"/>
  <c r="E34" i="768"/>
  <c r="F34" i="768"/>
  <c r="G34" i="768"/>
  <c r="C35" i="768"/>
  <c r="D35" i="768"/>
  <c r="E35" i="768"/>
  <c r="F35" i="768"/>
  <c r="G35" i="768"/>
  <c r="C36" i="768"/>
  <c r="D36" i="768"/>
  <c r="E36" i="768"/>
  <c r="F36" i="768"/>
  <c r="G36" i="768"/>
  <c r="C37" i="768"/>
  <c r="D37" i="768"/>
  <c r="E37" i="768"/>
  <c r="F37" i="768"/>
  <c r="G37" i="768"/>
  <c r="C38" i="768"/>
  <c r="D38" i="768"/>
  <c r="E38" i="768"/>
  <c r="F38" i="768"/>
  <c r="G38" i="768"/>
  <c r="C39" i="768"/>
  <c r="D39" i="768"/>
  <c r="E39" i="768"/>
  <c r="F39" i="768"/>
  <c r="G39" i="768"/>
  <c r="C40" i="768"/>
  <c r="D40" i="768"/>
  <c r="E40" i="768"/>
  <c r="F40" i="768"/>
  <c r="G40" i="768"/>
  <c r="C41" i="768"/>
  <c r="D41" i="768"/>
  <c r="E41" i="768"/>
  <c r="F41" i="768"/>
  <c r="G41" i="768"/>
  <c r="C42" i="768"/>
  <c r="D42" i="768"/>
  <c r="E42" i="768"/>
  <c r="F42" i="768"/>
  <c r="G42" i="768"/>
  <c r="C43" i="768"/>
  <c r="D43" i="768"/>
  <c r="E43" i="768"/>
  <c r="F43" i="768"/>
  <c r="G43" i="768"/>
  <c r="C44" i="768"/>
  <c r="D44" i="768"/>
  <c r="E44" i="768"/>
  <c r="F44" i="768"/>
  <c r="G44" i="768"/>
  <c r="C45" i="768"/>
  <c r="D45" i="768"/>
  <c r="E45" i="768"/>
  <c r="F45" i="768"/>
  <c r="G45" i="768"/>
  <c r="C46" i="768"/>
  <c r="D46" i="768"/>
  <c r="E46" i="768"/>
  <c r="F46" i="768"/>
  <c r="G46" i="768"/>
  <c r="C47" i="768"/>
  <c r="D47" i="768"/>
  <c r="E47" i="768"/>
  <c r="F47" i="768"/>
  <c r="G47" i="768"/>
  <c r="C48" i="768"/>
  <c r="D48" i="768"/>
  <c r="E48" i="768"/>
  <c r="F48" i="768"/>
  <c r="G48" i="768"/>
  <c r="C49" i="768"/>
  <c r="D49" i="768"/>
  <c r="E49" i="768"/>
  <c r="F49" i="768"/>
  <c r="G49" i="768"/>
  <c r="C50" i="768"/>
  <c r="D50" i="768"/>
  <c r="E50" i="768"/>
  <c r="F50" i="768"/>
  <c r="G50" i="768"/>
  <c r="C51" i="768"/>
  <c r="D51" i="768"/>
  <c r="E51" i="768"/>
  <c r="F51" i="768"/>
  <c r="G51" i="768"/>
  <c r="C52" i="768"/>
  <c r="D52" i="768"/>
  <c r="E52" i="768"/>
  <c r="F52" i="768"/>
  <c r="G52" i="768"/>
  <c r="C53" i="768"/>
  <c r="D53" i="768"/>
  <c r="E53" i="768"/>
  <c r="F53" i="768"/>
  <c r="G53" i="768"/>
  <c r="C54" i="768"/>
  <c r="D54" i="768"/>
  <c r="E54" i="768"/>
  <c r="F54" i="768"/>
  <c r="G54" i="768"/>
  <c r="C55" i="768"/>
  <c r="D55" i="768"/>
  <c r="E55" i="768"/>
  <c r="F55" i="768"/>
  <c r="G55" i="768"/>
  <c r="C56" i="768"/>
  <c r="D56" i="768"/>
  <c r="E56" i="768"/>
  <c r="F56" i="768"/>
  <c r="G56" i="768"/>
  <c r="C57" i="768"/>
  <c r="D57" i="768"/>
  <c r="E57" i="768"/>
  <c r="F57" i="768"/>
  <c r="G57" i="768"/>
  <c r="C58" i="768"/>
  <c r="D58" i="768"/>
  <c r="E58" i="768"/>
  <c r="F58" i="768"/>
  <c r="G58" i="768"/>
  <c r="C8" i="32"/>
  <c r="C9" i="32"/>
  <c r="D9" i="32"/>
  <c r="C10" i="32"/>
  <c r="D10" i="32"/>
  <c r="C11" i="32"/>
  <c r="D11" i="32"/>
  <c r="E11" i="32"/>
  <c r="C12" i="32"/>
  <c r="D12" i="32"/>
  <c r="E12" i="32"/>
  <c r="C13" i="32"/>
  <c r="D13" i="32"/>
  <c r="E13" i="32"/>
  <c r="C14" i="32"/>
  <c r="D14" i="32"/>
  <c r="E14" i="32"/>
  <c r="C15" i="32"/>
  <c r="D15" i="32"/>
  <c r="E15" i="32"/>
  <c r="C16" i="32"/>
  <c r="D16" i="32"/>
  <c r="E16" i="32"/>
  <c r="C17" i="32"/>
  <c r="D17" i="32"/>
  <c r="E17" i="32"/>
  <c r="C18" i="32"/>
  <c r="D18" i="32"/>
  <c r="E18" i="32"/>
  <c r="C19" i="32"/>
  <c r="D19" i="32"/>
  <c r="E19" i="32"/>
  <c r="C20" i="32"/>
  <c r="D20" i="32"/>
  <c r="E20" i="32"/>
  <c r="F20" i="32"/>
  <c r="C21" i="32"/>
  <c r="D21" i="32"/>
  <c r="E21" i="32"/>
  <c r="F21" i="32"/>
  <c r="C22" i="32"/>
  <c r="D22" i="32"/>
  <c r="E22" i="32"/>
  <c r="F22" i="32"/>
  <c r="C23" i="32"/>
  <c r="D23" i="32"/>
  <c r="E23" i="32"/>
  <c r="F23" i="32"/>
  <c r="C24" i="32"/>
  <c r="D24" i="32"/>
  <c r="E24" i="32"/>
  <c r="F24" i="32"/>
  <c r="C25" i="32"/>
  <c r="D25" i="32"/>
  <c r="E25" i="32"/>
  <c r="F25" i="32"/>
  <c r="C26" i="32"/>
  <c r="D26" i="32"/>
  <c r="E26" i="32"/>
  <c r="F26" i="32"/>
  <c r="C27" i="32"/>
  <c r="D27" i="32"/>
  <c r="E27" i="32"/>
  <c r="F27" i="32"/>
  <c r="C28" i="32"/>
  <c r="D28" i="32"/>
  <c r="E28" i="32"/>
  <c r="F28" i="32"/>
  <c r="C29" i="32"/>
  <c r="D29" i="32"/>
  <c r="E29" i="32"/>
  <c r="F29" i="32"/>
  <c r="C30" i="32"/>
  <c r="D30" i="32"/>
  <c r="E30" i="32"/>
  <c r="F30" i="32"/>
  <c r="C31" i="32"/>
  <c r="D31" i="32"/>
  <c r="E31" i="32"/>
  <c r="F31" i="32"/>
  <c r="C32" i="32"/>
  <c r="D32" i="32"/>
  <c r="E32" i="32"/>
  <c r="F32" i="32"/>
  <c r="G32" i="32"/>
  <c r="C33" i="32"/>
  <c r="D33" i="32"/>
  <c r="E33" i="32"/>
  <c r="F33" i="32"/>
  <c r="G33" i="32"/>
  <c r="C34" i="32"/>
  <c r="D34" i="32"/>
  <c r="E34" i="32"/>
  <c r="F34" i="32"/>
  <c r="G34" i="32"/>
  <c r="C35" i="32"/>
  <c r="D35" i="32"/>
  <c r="E35" i="32"/>
  <c r="F35" i="32"/>
  <c r="G35" i="32"/>
  <c r="C36" i="32"/>
  <c r="D36" i="32"/>
  <c r="E36" i="32"/>
  <c r="F36" i="32"/>
  <c r="G36" i="32"/>
  <c r="C37" i="32"/>
  <c r="D37" i="32"/>
  <c r="E37" i="32"/>
  <c r="F37" i="32"/>
  <c r="G37" i="32"/>
  <c r="C38" i="32"/>
  <c r="D38" i="32"/>
  <c r="E38" i="32"/>
  <c r="F38" i="32"/>
  <c r="G38" i="32"/>
  <c r="C39" i="32"/>
  <c r="D39" i="32"/>
  <c r="E39" i="32"/>
  <c r="F39" i="32"/>
  <c r="G39" i="32"/>
  <c r="C40" i="32"/>
  <c r="D40" i="32"/>
  <c r="E40" i="32"/>
  <c r="F40" i="32"/>
  <c r="G40" i="32"/>
  <c r="C41" i="32"/>
  <c r="D41" i="32"/>
  <c r="E41" i="32"/>
  <c r="F41" i="32"/>
  <c r="G41" i="32"/>
  <c r="C42" i="32"/>
  <c r="D42" i="32"/>
  <c r="E42" i="32"/>
  <c r="F42" i="32"/>
  <c r="G42" i="32"/>
  <c r="C43" i="32"/>
  <c r="D43" i="32"/>
  <c r="E43" i="32"/>
  <c r="F43" i="32"/>
  <c r="G43" i="32"/>
  <c r="C44" i="32"/>
  <c r="D44" i="32"/>
  <c r="E44" i="32"/>
  <c r="F44" i="32"/>
  <c r="G44" i="32"/>
  <c r="C45" i="32"/>
  <c r="D45" i="32"/>
  <c r="E45" i="32"/>
  <c r="F45" i="32"/>
  <c r="G45" i="32"/>
  <c r="C46" i="32"/>
  <c r="D46" i="32"/>
  <c r="E46" i="32"/>
  <c r="F46" i="32"/>
  <c r="G46" i="32"/>
  <c r="C47" i="32"/>
  <c r="D47" i="32"/>
  <c r="E47" i="32"/>
  <c r="F47" i="32"/>
  <c r="G47" i="32"/>
  <c r="C48" i="32"/>
  <c r="D48" i="32"/>
  <c r="E48" i="32"/>
  <c r="F48" i="32"/>
  <c r="G48" i="32"/>
  <c r="C49" i="32"/>
  <c r="D49" i="32"/>
  <c r="E49" i="32"/>
  <c r="F49" i="32"/>
  <c r="G49" i="32"/>
  <c r="C50" i="32"/>
  <c r="D50" i="32"/>
  <c r="E50" i="32"/>
  <c r="F50" i="32"/>
  <c r="G50" i="32"/>
  <c r="C51" i="32"/>
  <c r="D51" i="32"/>
  <c r="E51" i="32"/>
  <c r="F51" i="32"/>
  <c r="G51" i="32"/>
  <c r="C52" i="32"/>
  <c r="D52" i="32"/>
  <c r="E52" i="32"/>
  <c r="F52" i="32"/>
  <c r="G52" i="32"/>
  <c r="C53" i="32"/>
  <c r="D53" i="32"/>
  <c r="E53" i="32"/>
  <c r="F53" i="32"/>
  <c r="G53" i="32"/>
  <c r="C54" i="32"/>
  <c r="D54" i="32"/>
  <c r="E54" i="32"/>
  <c r="F54" i="32"/>
  <c r="G54" i="32"/>
  <c r="C55" i="32"/>
  <c r="D55" i="32"/>
  <c r="E55" i="32"/>
  <c r="F55" i="32"/>
  <c r="G55" i="32"/>
  <c r="C56" i="32"/>
  <c r="D56" i="32"/>
  <c r="E56" i="32"/>
  <c r="F56" i="32"/>
  <c r="G56" i="32"/>
  <c r="C57" i="32"/>
  <c r="D57" i="32"/>
  <c r="E57" i="32"/>
  <c r="F57" i="32"/>
  <c r="G57" i="32"/>
  <c r="C58" i="32"/>
  <c r="D58" i="32"/>
  <c r="E58" i="32"/>
  <c r="F58" i="32"/>
  <c r="G58" i="32"/>
  <c r="C8" i="10285"/>
  <c r="C9" i="10285"/>
  <c r="C10" i="10285"/>
  <c r="C11" i="10285"/>
  <c r="C12" i="10285"/>
  <c r="C13" i="10285"/>
  <c r="C14" i="10285"/>
  <c r="C15" i="10285"/>
  <c r="C16" i="10285"/>
  <c r="C17" i="10285"/>
  <c r="C18" i="10285"/>
  <c r="E18" i="10285" s="1"/>
  <c r="C19" i="10285"/>
  <c r="C20" i="10285"/>
  <c r="E20" i="10285" s="1"/>
  <c r="C21" i="10285"/>
  <c r="C22" i="10285"/>
  <c r="F22" i="10285" s="1"/>
  <c r="C23" i="10285"/>
  <c r="C24" i="10285"/>
  <c r="C25" i="10285"/>
  <c r="C26" i="10285"/>
  <c r="E26" i="10285" s="1"/>
  <c r="C27" i="10285"/>
  <c r="C28" i="10285"/>
  <c r="C29" i="10285"/>
  <c r="C30" i="10285"/>
  <c r="E30" i="10285" s="1"/>
  <c r="C31" i="10285"/>
  <c r="C32" i="10285"/>
  <c r="G32" i="10285" s="1"/>
  <c r="C33" i="10285"/>
  <c r="C34" i="10285"/>
  <c r="C35" i="10285"/>
  <c r="C36" i="10285"/>
  <c r="C37" i="10285"/>
  <c r="F37" i="10285" s="1"/>
  <c r="C38" i="10285"/>
  <c r="G38" i="10285" s="1"/>
  <c r="C39" i="10285"/>
  <c r="C40" i="10285"/>
  <c r="F40" i="10285" s="1"/>
  <c r="C41" i="10285"/>
  <c r="G41" i="10285" s="1"/>
  <c r="C42" i="10285"/>
  <c r="G42" i="10285" s="1"/>
  <c r="C43" i="10285"/>
  <c r="F43" i="10285" s="1"/>
  <c r="C44" i="10285"/>
  <c r="F44" i="10285" s="1"/>
  <c r="C45" i="10285"/>
  <c r="G45" i="10285" s="1"/>
  <c r="C46" i="10285"/>
  <c r="G46" i="10285" s="1"/>
  <c r="C47" i="10285"/>
  <c r="C48" i="10285"/>
  <c r="C49" i="10285"/>
  <c r="G49" i="10285" s="1"/>
  <c r="C50" i="10285"/>
  <c r="G50" i="10285" s="1"/>
  <c r="C51" i="10285"/>
  <c r="G51" i="10285" s="1"/>
  <c r="C52" i="10285"/>
  <c r="F52" i="10285" s="1"/>
  <c r="F53" i="10285"/>
  <c r="B8" i="25583"/>
  <c r="D8" i="25583" s="1"/>
  <c r="B12" i="25583"/>
  <c r="F51" i="4888"/>
  <c r="G39" i="4888"/>
  <c r="B11" i="25583"/>
  <c r="D11" i="25583" s="1"/>
  <c r="B7" i="25583"/>
  <c r="B14" i="25583"/>
  <c r="D14" i="25583" s="1"/>
  <c r="B13" i="25583"/>
  <c r="D13" i="25583" s="1"/>
  <c r="B6" i="25583"/>
  <c r="B5" i="25583"/>
  <c r="B10" i="25583"/>
  <c r="D10" i="25583" s="1"/>
  <c r="D7" i="25582"/>
  <c r="G7" i="25582"/>
  <c r="F27" i="25582"/>
  <c r="E28" i="25582"/>
  <c r="G8" i="25582"/>
  <c r="M27" i="25582"/>
  <c r="M7" i="25582"/>
  <c r="E8" i="25582"/>
  <c r="I28" i="25582"/>
  <c r="I8" i="25582"/>
  <c r="H7" i="25582"/>
  <c r="H27" i="25582"/>
  <c r="M8" i="25582"/>
  <c r="M28" i="25582"/>
  <c r="I27" i="25582"/>
  <c r="I7" i="25582"/>
  <c r="J8" i="25582"/>
  <c r="J28" i="25582"/>
  <c r="G27" i="25582"/>
  <c r="D27" i="25582"/>
  <c r="G28" i="25582"/>
  <c r="F7" i="25582"/>
  <c r="B8" i="25582"/>
  <c r="B28" i="25582"/>
  <c r="K7" i="25582"/>
  <c r="K27" i="25582"/>
  <c r="C8" i="25582"/>
  <c r="C28" i="25582"/>
  <c r="H8" i="25582"/>
  <c r="H28" i="25582"/>
  <c r="L7" i="25582"/>
  <c r="L27" i="25582"/>
  <c r="F28" i="25582"/>
  <c r="F8" i="25582"/>
  <c r="K8" i="25582"/>
  <c r="K28" i="25582"/>
  <c r="E27" i="25582"/>
  <c r="E7" i="25582"/>
  <c r="J27" i="25582"/>
  <c r="J7" i="25582"/>
  <c r="L28" i="25582"/>
  <c r="L8" i="25582"/>
  <c r="C7" i="25582"/>
  <c r="C27" i="25582"/>
  <c r="D28" i="25582"/>
  <c r="D8" i="25582"/>
  <c r="B7" i="25582"/>
  <c r="B27" i="25582"/>
  <c r="G63" i="4888"/>
  <c r="F45" i="4888"/>
  <c r="F39" i="4888"/>
  <c r="E17" i="10285"/>
  <c r="F29" i="10285"/>
  <c r="D46" i="10285"/>
  <c r="B65" i="4888"/>
  <c r="G65" i="4888" s="1"/>
  <c r="G64" i="4888"/>
  <c r="C65" i="4888"/>
  <c r="G116" i="2316"/>
  <c r="C109" i="25586" l="1"/>
  <c r="C109" i="25587"/>
  <c r="C108" i="25587"/>
  <c r="C108" i="25586"/>
  <c r="C107" i="25586"/>
  <c r="C107" i="25587"/>
  <c r="C106" i="25586"/>
  <c r="C106" i="25587"/>
  <c r="C105" i="25587"/>
  <c r="C105" i="25586"/>
  <c r="C104" i="25587"/>
  <c r="C104" i="25586"/>
  <c r="C103" i="25587"/>
  <c r="C103" i="25586"/>
  <c r="C102" i="25586"/>
  <c r="C102" i="25587"/>
  <c r="C101" i="25587"/>
  <c r="C101" i="25586"/>
  <c r="D64" i="4888"/>
  <c r="G50" i="4888"/>
  <c r="F38" i="10285"/>
  <c r="D7" i="25583"/>
  <c r="D65" i="4888"/>
  <c r="C202" i="10285"/>
  <c r="D203" i="10285" s="1"/>
  <c r="C201" i="10285"/>
  <c r="C200" i="10285"/>
  <c r="C199" i="10285"/>
  <c r="F211" i="10285" s="1"/>
  <c r="C198" i="10285"/>
  <c r="F210" i="10285" s="1"/>
  <c r="C197" i="10285"/>
  <c r="F209" i="10285" s="1"/>
  <c r="C196" i="10285"/>
  <c r="F208" i="10285" s="1"/>
  <c r="C195" i="10285"/>
  <c r="E29" i="10285"/>
  <c r="E25" i="10285"/>
  <c r="E21" i="10285"/>
  <c r="D18" i="10285"/>
  <c r="C100" i="25587"/>
  <c r="C100" i="25586"/>
  <c r="C99" i="25586"/>
  <c r="C99" i="25587"/>
  <c r="C98" i="25587"/>
  <c r="C98" i="25586"/>
  <c r="C97" i="25586"/>
  <c r="C97" i="25587"/>
  <c r="C96" i="25586"/>
  <c r="C96" i="25587"/>
  <c r="C95" i="25586"/>
  <c r="C95" i="25587"/>
  <c r="C94" i="25586"/>
  <c r="C94" i="25587"/>
  <c r="C93" i="25586"/>
  <c r="C93" i="25587"/>
  <c r="C92" i="25586"/>
  <c r="C92" i="25587"/>
  <c r="D47" i="10285"/>
  <c r="C194" i="10285"/>
  <c r="C193" i="10285"/>
  <c r="F205" i="10285" s="1"/>
  <c r="C91" i="25586"/>
  <c r="C91" i="25587"/>
  <c r="F32" i="10285"/>
  <c r="C192" i="10285"/>
  <c r="F204" i="10285" s="1"/>
  <c r="C191" i="10285"/>
  <c r="C190" i="10285"/>
  <c r="D33" i="10285"/>
  <c r="E52" i="4888"/>
  <c r="C90" i="25586"/>
  <c r="C90" i="25587"/>
  <c r="C140" i="1024"/>
  <c r="C89" i="25586"/>
  <c r="C89" i="25587"/>
  <c r="C88" i="25586"/>
  <c r="C88" i="25587"/>
  <c r="C34" i="4888"/>
  <c r="E41" i="4888"/>
  <c r="E44" i="4888"/>
  <c r="E37" i="4888"/>
  <c r="E46" i="4888"/>
  <c r="E42" i="4888"/>
  <c r="E45" i="4888"/>
  <c r="E40" i="4888"/>
  <c r="E43" i="4888"/>
  <c r="B36" i="4888"/>
  <c r="F36" i="4888" s="1"/>
  <c r="G44" i="4888"/>
  <c r="F32" i="4888"/>
  <c r="B21" i="4888"/>
  <c r="C21" i="4888" s="1"/>
  <c r="F20" i="4888"/>
  <c r="D20" i="4888"/>
  <c r="B35" i="4888"/>
  <c r="E35" i="4888" s="1"/>
  <c r="G43" i="10285"/>
  <c r="D43" i="10285"/>
  <c r="E38" i="4888"/>
  <c r="D34" i="4888"/>
  <c r="C189" i="10285"/>
  <c r="C188" i="10285"/>
  <c r="D5" i="25583"/>
  <c r="D15" i="25583" s="1"/>
  <c r="C87" i="25586"/>
  <c r="C87" i="25587"/>
  <c r="C86" i="25586"/>
  <c r="C86" i="25587"/>
  <c r="B66" i="4888"/>
  <c r="D66" i="4888" s="1"/>
  <c r="E15" i="10285"/>
  <c r="C85" i="25586"/>
  <c r="C187" i="10285"/>
  <c r="G211" i="10285" s="1"/>
  <c r="C186" i="10285"/>
  <c r="G210" i="10285" s="1"/>
  <c r="D9" i="10285"/>
  <c r="C85" i="25587"/>
  <c r="C145" i="9216"/>
  <c r="C84" i="25586"/>
  <c r="C84" i="25587"/>
  <c r="C114" i="32"/>
  <c r="C104" i="1024"/>
  <c r="C156" i="20994"/>
  <c r="D11" i="10285"/>
  <c r="C83" i="25586"/>
  <c r="D6" i="25583"/>
  <c r="C185" i="10285"/>
  <c r="G209" i="10285" s="1"/>
  <c r="C184" i="10285"/>
  <c r="G208" i="10285" s="1"/>
  <c r="C183" i="10285"/>
  <c r="G207" i="10285" s="1"/>
  <c r="C83" i="25587"/>
  <c r="D20" i="10285"/>
  <c r="G108" i="25580"/>
  <c r="C96" i="2316"/>
  <c r="C155" i="2316"/>
  <c r="C133" i="20994"/>
  <c r="G98" i="20994"/>
  <c r="C90" i="20994"/>
  <c r="C82" i="25587"/>
  <c r="G82" i="25586"/>
  <c r="G183" i="768"/>
  <c r="G183" i="32"/>
  <c r="G183" i="20994"/>
  <c r="G183" i="2316"/>
  <c r="C124" i="768"/>
  <c r="C74" i="20994"/>
  <c r="C82" i="25586"/>
  <c r="G183" i="9216"/>
  <c r="G114" i="20994"/>
  <c r="G183" i="1024"/>
  <c r="F60" i="2316"/>
  <c r="G84" i="2316"/>
  <c r="C147" i="1024"/>
  <c r="C60" i="1024"/>
  <c r="G150" i="9216"/>
  <c r="G122" i="20994"/>
  <c r="C82" i="20994"/>
  <c r="G72" i="3584"/>
  <c r="C71" i="9216"/>
  <c r="C139" i="1024"/>
  <c r="G81" i="25586"/>
  <c r="G182" i="20994"/>
  <c r="G182" i="9216"/>
  <c r="C81" i="25587"/>
  <c r="D82" i="20994"/>
  <c r="C81" i="25586"/>
  <c r="G182" i="768"/>
  <c r="G182" i="1024"/>
  <c r="G182" i="2316"/>
  <c r="G182" i="3584"/>
  <c r="G182" i="25580"/>
  <c r="G182" i="32"/>
  <c r="E71" i="9216"/>
  <c r="F65" i="20994"/>
  <c r="C85" i="32"/>
  <c r="G77" i="32"/>
  <c r="C83" i="1024"/>
  <c r="D142" i="9216"/>
  <c r="C95" i="9216"/>
  <c r="C136" i="9216"/>
  <c r="C59" i="25580"/>
  <c r="E135" i="3584"/>
  <c r="G46" i="25586"/>
  <c r="F25" i="10285"/>
  <c r="D22" i="10285"/>
  <c r="G37" i="10285"/>
  <c r="E49" i="10285"/>
  <c r="F41" i="10285"/>
  <c r="D49" i="10285"/>
  <c r="D37" i="10285"/>
  <c r="D17" i="10285"/>
  <c r="C54" i="10285"/>
  <c r="D54" i="10285" s="1"/>
  <c r="D41" i="10285"/>
  <c r="F33" i="10285"/>
  <c r="D42" i="10285"/>
  <c r="F49" i="10285"/>
  <c r="D45" i="10285"/>
  <c r="F45" i="10285"/>
  <c r="C87" i="10285"/>
  <c r="C58" i="10285"/>
  <c r="F58" i="10285" s="1"/>
  <c r="C56" i="10285"/>
  <c r="G56" i="10285" s="1"/>
  <c r="D10" i="10285"/>
  <c r="G52" i="10285"/>
  <c r="E51" i="10285"/>
  <c r="E47" i="10285"/>
  <c r="D36" i="10285"/>
  <c r="D31" i="10285"/>
  <c r="E27" i="10285"/>
  <c r="D19" i="10285"/>
  <c r="E32" i="10285"/>
  <c r="D16" i="10285"/>
  <c r="D21" i="10285"/>
  <c r="E13" i="10285"/>
  <c r="E48" i="10285"/>
  <c r="E44" i="10285"/>
  <c r="E28" i="10285"/>
  <c r="C182" i="10285"/>
  <c r="G206" i="10285" s="1"/>
  <c r="C105" i="3584"/>
  <c r="C103" i="10285"/>
  <c r="C80" i="25587"/>
  <c r="G156" i="768"/>
  <c r="G181" i="20994"/>
  <c r="G181" i="9216"/>
  <c r="G181" i="25580"/>
  <c r="G181" i="1024"/>
  <c r="G181" i="2316"/>
  <c r="C99" i="10285"/>
  <c r="C104" i="768"/>
  <c r="C61" i="3584"/>
  <c r="C80" i="25586"/>
  <c r="G80" i="25586"/>
  <c r="G181" i="3584"/>
  <c r="G181" i="768"/>
  <c r="G181" i="32"/>
  <c r="D141" i="2316"/>
  <c r="C93" i="32"/>
  <c r="C158" i="32"/>
  <c r="C109" i="32"/>
  <c r="D147" i="1024"/>
  <c r="F59" i="1024"/>
  <c r="C153" i="1024"/>
  <c r="C67" i="1024"/>
  <c r="G147" i="1024"/>
  <c r="C59" i="1024"/>
  <c r="G67" i="1024"/>
  <c r="G115" i="1024"/>
  <c r="C63" i="9216"/>
  <c r="C103" i="9216"/>
  <c r="E63" i="9216"/>
  <c r="G79" i="9216"/>
  <c r="F63" i="9216"/>
  <c r="G63" i="9216"/>
  <c r="G95" i="9216"/>
  <c r="G89" i="20994"/>
  <c r="E65" i="20994"/>
  <c r="C73" i="20994"/>
  <c r="C89" i="20994"/>
  <c r="E90" i="20994"/>
  <c r="C137" i="20994"/>
  <c r="C98" i="20994"/>
  <c r="E89" i="20994"/>
  <c r="C124" i="25580"/>
  <c r="D138" i="25580"/>
  <c r="C76" i="25580"/>
  <c r="C128" i="25580"/>
  <c r="G124" i="25580"/>
  <c r="C137" i="25580"/>
  <c r="G76" i="25580"/>
  <c r="C158" i="25580"/>
  <c r="G116" i="25580"/>
  <c r="G100" i="25580"/>
  <c r="C112" i="3584"/>
  <c r="F33" i="4888"/>
  <c r="G33" i="10285"/>
  <c r="E16" i="10285"/>
  <c r="E19" i="10285"/>
  <c r="C33" i="4888"/>
  <c r="D52" i="10285"/>
  <c r="F28" i="10285"/>
  <c r="E22" i="10285"/>
  <c r="C181" i="10285"/>
  <c r="G205" i="10285" s="1"/>
  <c r="C180" i="10285"/>
  <c r="G204" i="10285" s="1"/>
  <c r="C179" i="10285"/>
  <c r="G203" i="10285" s="1"/>
  <c r="C178" i="10285"/>
  <c r="C177" i="10285"/>
  <c r="C176" i="10285"/>
  <c r="C175" i="10285"/>
  <c r="G199" i="10285" s="1"/>
  <c r="C174" i="10285"/>
  <c r="C173" i="10285"/>
  <c r="C172" i="10285"/>
  <c r="C171" i="10285"/>
  <c r="C170" i="10285"/>
  <c r="C169" i="10285"/>
  <c r="C168" i="10285"/>
  <c r="C167" i="10285"/>
  <c r="C166" i="10285"/>
  <c r="C165" i="10285"/>
  <c r="C164" i="10285"/>
  <c r="C163" i="10285"/>
  <c r="C162" i="10285"/>
  <c r="G186" i="10285" s="1"/>
  <c r="C161" i="10285"/>
  <c r="E33" i="10285"/>
  <c r="C80" i="3584"/>
  <c r="C71" i="10285"/>
  <c r="G71" i="10285" s="1"/>
  <c r="G93" i="32"/>
  <c r="G105" i="20994"/>
  <c r="G87" i="9216"/>
  <c r="C111" i="10285"/>
  <c r="D48" i="10285"/>
  <c r="F30" i="10285"/>
  <c r="D32" i="10285"/>
  <c r="G40" i="10285"/>
  <c r="E43" i="10285"/>
  <c r="F21" i="10285"/>
  <c r="D26" i="10285"/>
  <c r="E39" i="4888"/>
  <c r="F34" i="4888"/>
  <c r="D33" i="4888"/>
  <c r="D27" i="10285"/>
  <c r="F26" i="10285"/>
  <c r="N8" i="25582"/>
  <c r="F46" i="4888"/>
  <c r="D12" i="25583"/>
  <c r="E52" i="10285"/>
  <c r="D28" i="10285"/>
  <c r="E33" i="4888"/>
  <c r="C15" i="25583"/>
  <c r="C79" i="25586"/>
  <c r="G180" i="25580"/>
  <c r="G180" i="1024"/>
  <c r="G79" i="25586"/>
  <c r="G180" i="32"/>
  <c r="C79" i="25587"/>
  <c r="G180" i="768"/>
  <c r="G180" i="2316"/>
  <c r="G180" i="9216"/>
  <c r="E31" i="10285"/>
  <c r="N27" i="25582"/>
  <c r="E41" i="10285"/>
  <c r="F27" i="10285"/>
  <c r="G180" i="3584"/>
  <c r="G180" i="20994"/>
  <c r="G179" i="25580"/>
  <c r="G179" i="1024"/>
  <c r="G179" i="9216"/>
  <c r="C78" i="25586"/>
  <c r="G179" i="3584"/>
  <c r="G179" i="20994"/>
  <c r="C78" i="25587"/>
  <c r="G78" i="25586"/>
  <c r="G179" i="32"/>
  <c r="G179" i="768"/>
  <c r="G179" i="2316"/>
  <c r="C118" i="10285"/>
  <c r="G178" i="3584"/>
  <c r="G178" i="20994"/>
  <c r="G178" i="2316"/>
  <c r="G178" i="25580"/>
  <c r="G178" i="9216"/>
  <c r="G178" i="1024"/>
  <c r="G178" i="768"/>
  <c r="G178" i="32"/>
  <c r="F62" i="32"/>
  <c r="C106" i="32"/>
  <c r="C98" i="32"/>
  <c r="E114" i="32"/>
  <c r="C119" i="768"/>
  <c r="C79" i="768"/>
  <c r="E80" i="3584"/>
  <c r="G80" i="3584"/>
  <c r="E141" i="3584"/>
  <c r="C135" i="3584"/>
  <c r="C77" i="25586"/>
  <c r="C77" i="25587"/>
  <c r="G77" i="25586"/>
  <c r="G177" i="3584"/>
  <c r="G177" i="20994"/>
  <c r="G177" i="2316"/>
  <c r="G177" i="25580"/>
  <c r="G177" i="9216"/>
  <c r="G177" i="1024"/>
  <c r="G177" i="768"/>
  <c r="G177" i="32"/>
  <c r="C76" i="25587"/>
  <c r="G76" i="25586"/>
  <c r="C76" i="25586"/>
  <c r="G176" i="20994"/>
  <c r="G68" i="25580"/>
  <c r="C100" i="25580"/>
  <c r="G65" i="3584"/>
  <c r="G85" i="3584"/>
  <c r="C108" i="25580"/>
  <c r="C116" i="25580"/>
  <c r="G72" i="25580"/>
  <c r="G176" i="25580"/>
  <c r="G176" i="9216"/>
  <c r="G176" i="3584"/>
  <c r="G176" i="2316"/>
  <c r="G105" i="3584"/>
  <c r="C84" i="25580"/>
  <c r="F92" i="25580"/>
  <c r="C122" i="3584"/>
  <c r="G176" i="1024"/>
  <c r="G176" i="768"/>
  <c r="G176" i="32"/>
  <c r="F141" i="3584"/>
  <c r="G121" i="2316"/>
  <c r="C143" i="20994"/>
  <c r="G75" i="25586"/>
  <c r="C157" i="1024"/>
  <c r="C75" i="25587"/>
  <c r="C75" i="25586"/>
  <c r="C74" i="25586"/>
  <c r="G175" i="25580"/>
  <c r="G175" i="9216"/>
  <c r="G74" i="25586"/>
  <c r="G175" i="1024"/>
  <c r="C74" i="25587"/>
  <c r="G175" i="768"/>
  <c r="G175" i="32"/>
  <c r="G175" i="3584"/>
  <c r="G175" i="20994"/>
  <c r="G175" i="2316"/>
  <c r="G174" i="1024"/>
  <c r="G125" i="25580"/>
  <c r="G174" i="768"/>
  <c r="G174" i="32"/>
  <c r="G174" i="3584"/>
  <c r="G174" i="20994"/>
  <c r="G174" i="2316"/>
  <c r="G174" i="25580"/>
  <c r="G174" i="9216"/>
  <c r="E65" i="25580"/>
  <c r="E82" i="3584"/>
  <c r="C145" i="1024"/>
  <c r="C90" i="3584"/>
  <c r="G149" i="25580"/>
  <c r="F77" i="25580"/>
  <c r="C80" i="10285"/>
  <c r="G73" i="2316"/>
  <c r="C73" i="25587"/>
  <c r="C73" i="25586"/>
  <c r="G73" i="25586"/>
  <c r="E61" i="1024"/>
  <c r="G69" i="1024"/>
  <c r="G98" i="3584"/>
  <c r="E61" i="9216"/>
  <c r="C153" i="2316"/>
  <c r="C137" i="1024"/>
  <c r="E107" i="20994"/>
  <c r="E114" i="3584"/>
  <c r="G114" i="3584"/>
  <c r="F133" i="25580"/>
  <c r="C79" i="20994"/>
  <c r="G65" i="2316"/>
  <c r="G147" i="3584"/>
  <c r="C69" i="25580"/>
  <c r="C101" i="1024"/>
  <c r="G77" i="25588"/>
  <c r="D42" i="25587"/>
  <c r="D106" i="3584"/>
  <c r="C114" i="3584"/>
  <c r="D93" i="25580"/>
  <c r="F137" i="1024"/>
  <c r="D157" i="1024"/>
  <c r="C147" i="2316"/>
  <c r="C24" i="25586"/>
  <c r="G82" i="3584"/>
  <c r="C139" i="3584"/>
  <c r="C109" i="25580"/>
  <c r="D117" i="1024"/>
  <c r="C103" i="32"/>
  <c r="C132" i="3584"/>
  <c r="D125" i="25580"/>
  <c r="H30" i="25582" s="1"/>
  <c r="G125" i="9216"/>
  <c r="G85" i="9216"/>
  <c r="C125" i="9216"/>
  <c r="E30" i="25587"/>
  <c r="F85" i="25580"/>
  <c r="G109" i="1024"/>
  <c r="G119" i="32"/>
  <c r="G106" i="3584"/>
  <c r="D101" i="25580"/>
  <c r="F135" i="3584"/>
  <c r="C106" i="3584"/>
  <c r="F56" i="25586"/>
  <c r="G85" i="25588"/>
  <c r="C97" i="768"/>
  <c r="F157" i="1024"/>
  <c r="F61" i="1024"/>
  <c r="F142" i="32"/>
  <c r="C63" i="32"/>
  <c r="F139" i="3584"/>
  <c r="E90" i="3584"/>
  <c r="C115" i="20994"/>
  <c r="C101" i="9216"/>
  <c r="D146" i="1024"/>
  <c r="C150" i="1024"/>
  <c r="F97" i="2316"/>
  <c r="C147" i="3584"/>
  <c r="G65" i="768"/>
  <c r="C72" i="25586"/>
  <c r="C148" i="9216"/>
  <c r="G173" i="25580"/>
  <c r="G173" i="9216"/>
  <c r="G72" i="25586"/>
  <c r="G173" i="1024"/>
  <c r="C72" i="25587"/>
  <c r="G173" i="768"/>
  <c r="G173" i="32"/>
  <c r="G173" i="3584"/>
  <c r="G173" i="20994"/>
  <c r="G173" i="2316"/>
  <c r="G129" i="2316"/>
  <c r="C73" i="2316"/>
  <c r="C121" i="2316"/>
  <c r="C97" i="2316"/>
  <c r="G97" i="2316"/>
  <c r="G153" i="2316"/>
  <c r="D109" i="2316"/>
  <c r="G105" i="2316"/>
  <c r="C81" i="2316"/>
  <c r="C69" i="2316"/>
  <c r="F65" i="2316"/>
  <c r="E81" i="2316"/>
  <c r="C89" i="2316"/>
  <c r="C65" i="2316"/>
  <c r="C157" i="2316"/>
  <c r="G113" i="2316"/>
  <c r="G81" i="2316"/>
  <c r="G89" i="2316"/>
  <c r="C113" i="2316"/>
  <c r="C139" i="2316"/>
  <c r="C129" i="2316"/>
  <c r="C105" i="2316"/>
  <c r="F107" i="32"/>
  <c r="E63" i="32"/>
  <c r="C79" i="32"/>
  <c r="G87" i="32"/>
  <c r="G63" i="32"/>
  <c r="G71" i="32"/>
  <c r="C87" i="32"/>
  <c r="G79" i="32"/>
  <c r="C111" i="32"/>
  <c r="F63" i="32"/>
  <c r="G109" i="9216"/>
  <c r="F148" i="9216"/>
  <c r="C140" i="9216"/>
  <c r="G61" i="9216"/>
  <c r="C133" i="9216"/>
  <c r="C109" i="9216"/>
  <c r="F61" i="9216"/>
  <c r="G157" i="9216"/>
  <c r="G117" i="9216"/>
  <c r="C69" i="9216"/>
  <c r="C61" i="9216"/>
  <c r="C117" i="9216"/>
  <c r="C85" i="9216"/>
  <c r="C75" i="20994"/>
  <c r="C87" i="20994"/>
  <c r="F59" i="20994"/>
  <c r="C107" i="20994"/>
  <c r="C155" i="20994"/>
  <c r="D156" i="20994"/>
  <c r="C59" i="20994"/>
  <c r="F63" i="20994"/>
  <c r="C152" i="20994"/>
  <c r="C123" i="20994"/>
  <c r="F155" i="20994"/>
  <c r="F65" i="768"/>
  <c r="C138" i="768"/>
  <c r="E65" i="768"/>
  <c r="C101" i="25580"/>
  <c r="G157" i="25580"/>
  <c r="C73" i="25580"/>
  <c r="C85" i="25580"/>
  <c r="G109" i="25580"/>
  <c r="G65" i="25580"/>
  <c r="E69" i="25580"/>
  <c r="C149" i="25580"/>
  <c r="C125" i="25580"/>
  <c r="F73" i="25580"/>
  <c r="C151" i="25580"/>
  <c r="G140" i="25580"/>
  <c r="G77" i="25580"/>
  <c r="D158" i="25580"/>
  <c r="F149" i="25580"/>
  <c r="G117" i="25580"/>
  <c r="G73" i="25580"/>
  <c r="D85" i="25580"/>
  <c r="D77" i="25580"/>
  <c r="E133" i="25580"/>
  <c r="F105" i="25580"/>
  <c r="C156" i="25580"/>
  <c r="C113" i="25580"/>
  <c r="C117" i="25580"/>
  <c r="D117" i="25580"/>
  <c r="G105" i="25580"/>
  <c r="C130" i="25580"/>
  <c r="G101" i="25580"/>
  <c r="D89" i="25580"/>
  <c r="E135" i="25580"/>
  <c r="C61" i="25580"/>
  <c r="F137" i="25580"/>
  <c r="C77" i="25580"/>
  <c r="D109" i="25580"/>
  <c r="F65" i="25580"/>
  <c r="F69" i="25580"/>
  <c r="D131" i="25580"/>
  <c r="C65" i="25580"/>
  <c r="C93" i="25580"/>
  <c r="G101" i="25588"/>
  <c r="G69" i="25588"/>
  <c r="G93" i="25588"/>
  <c r="G45" i="25588"/>
  <c r="G53" i="25588"/>
  <c r="G109" i="25588"/>
  <c r="G61" i="25588"/>
  <c r="G97" i="25590"/>
  <c r="G38" i="25586"/>
  <c r="G172" i="768"/>
  <c r="G172" i="32"/>
  <c r="G172" i="3584"/>
  <c r="G172" i="20994"/>
  <c r="G172" i="2316"/>
  <c r="G172" i="25580"/>
  <c r="G172" i="9216"/>
  <c r="G172" i="1024"/>
  <c r="C71" i="25587"/>
  <c r="G103" i="25590"/>
  <c r="G43" i="25588"/>
  <c r="G91" i="25588"/>
  <c r="F58" i="25586"/>
  <c r="G104" i="25590"/>
  <c r="E52" i="25587"/>
  <c r="C71" i="25586"/>
  <c r="G111" i="25590"/>
  <c r="G75" i="25588"/>
  <c r="E41" i="25587"/>
  <c r="G71" i="25586"/>
  <c r="E25" i="25590"/>
  <c r="E132" i="2316"/>
  <c r="C119" i="2316"/>
  <c r="F153" i="2316"/>
  <c r="C141" i="2316"/>
  <c r="G171" i="2316"/>
  <c r="F171" i="2316"/>
  <c r="C87" i="2316"/>
  <c r="F141" i="2316"/>
  <c r="E151" i="32"/>
  <c r="C130" i="32"/>
  <c r="E61" i="32"/>
  <c r="D134" i="32"/>
  <c r="C69" i="32"/>
  <c r="E144" i="32"/>
  <c r="G171" i="32"/>
  <c r="F171" i="32"/>
  <c r="E85" i="32"/>
  <c r="C133" i="32"/>
  <c r="C125" i="32"/>
  <c r="C134" i="32"/>
  <c r="E69" i="32"/>
  <c r="C117" i="32"/>
  <c r="G125" i="32"/>
  <c r="G171" i="1024"/>
  <c r="F171" i="1024"/>
  <c r="C111" i="9216"/>
  <c r="G103" i="9216"/>
  <c r="G171" i="9216"/>
  <c r="F171" i="9216"/>
  <c r="G171" i="20994"/>
  <c r="F171" i="20994"/>
  <c r="F63" i="768"/>
  <c r="C95" i="768"/>
  <c r="C156" i="768"/>
  <c r="G171" i="768"/>
  <c r="F171" i="768"/>
  <c r="D140" i="768"/>
  <c r="D147" i="768"/>
  <c r="C127" i="768"/>
  <c r="C111" i="768"/>
  <c r="C83" i="768"/>
  <c r="G119" i="768"/>
  <c r="G95" i="768"/>
  <c r="C87" i="768"/>
  <c r="G111" i="768"/>
  <c r="D76" i="25580"/>
  <c r="G59" i="25580"/>
  <c r="C115" i="25580"/>
  <c r="G83" i="25580"/>
  <c r="C146" i="25580"/>
  <c r="E138" i="25580"/>
  <c r="D92" i="25580"/>
  <c r="C83" i="25580"/>
  <c r="D116" i="25580"/>
  <c r="F158" i="25580"/>
  <c r="G99" i="25580"/>
  <c r="G123" i="25580"/>
  <c r="E59" i="25580"/>
  <c r="G171" i="25580"/>
  <c r="F171" i="25580"/>
  <c r="D131" i="3584"/>
  <c r="G104" i="3584"/>
  <c r="C64" i="3584"/>
  <c r="G64" i="3584"/>
  <c r="C72" i="3584"/>
  <c r="F93" i="3584"/>
  <c r="E65" i="3584"/>
  <c r="C141" i="3584"/>
  <c r="G171" i="3584"/>
  <c r="F171" i="3584"/>
  <c r="G81" i="3584"/>
  <c r="F69" i="3584"/>
  <c r="C97" i="3584"/>
  <c r="C130" i="3584"/>
  <c r="C99" i="25588"/>
  <c r="D60" i="25588"/>
  <c r="D83" i="25588"/>
  <c r="G112" i="25590"/>
  <c r="D79" i="25590"/>
  <c r="E43" i="25587"/>
  <c r="F41" i="25587"/>
  <c r="E38" i="25587"/>
  <c r="D54" i="25587"/>
  <c r="F23" i="25586"/>
  <c r="E45" i="25586"/>
  <c r="D31" i="25586"/>
  <c r="F70" i="25586"/>
  <c r="C70" i="25586"/>
  <c r="C70" i="25587"/>
  <c r="G70" i="25586"/>
  <c r="E140" i="2316"/>
  <c r="G151" i="2316"/>
  <c r="F139" i="2316"/>
  <c r="C130" i="2316"/>
  <c r="D130" i="2316"/>
  <c r="M18" i="25582" s="1"/>
  <c r="C132" i="2316"/>
  <c r="G87" i="2316"/>
  <c r="G119" i="2316"/>
  <c r="C79" i="2316"/>
  <c r="C127" i="2316"/>
  <c r="D63" i="2316"/>
  <c r="G63" i="2316"/>
  <c r="D93" i="32"/>
  <c r="C92" i="32"/>
  <c r="G92" i="32"/>
  <c r="G117" i="1024"/>
  <c r="C61" i="1024"/>
  <c r="F85" i="1024"/>
  <c r="C85" i="1024"/>
  <c r="C93" i="1024"/>
  <c r="G61" i="1024"/>
  <c r="G125" i="1024"/>
  <c r="C109" i="1024"/>
  <c r="G85" i="1024"/>
  <c r="C117" i="1024"/>
  <c r="G72" i="768"/>
  <c r="C108" i="768"/>
  <c r="C128" i="768"/>
  <c r="C110" i="10285"/>
  <c r="C86" i="10285"/>
  <c r="G42" i="25588"/>
  <c r="E30" i="25590"/>
  <c r="G86" i="25590"/>
  <c r="F62" i="2316"/>
  <c r="G116" i="32"/>
  <c r="G170" i="25580"/>
  <c r="G170" i="9216"/>
  <c r="F170" i="3584"/>
  <c r="G170" i="3584"/>
  <c r="G170" i="2316"/>
  <c r="F170" i="1024"/>
  <c r="E141" i="32"/>
  <c r="E91" i="25588"/>
  <c r="C30" i="25586"/>
  <c r="E14" i="25586"/>
  <c r="C75" i="25580"/>
  <c r="G115" i="25580"/>
  <c r="G107" i="25580"/>
  <c r="C140" i="768"/>
  <c r="C71" i="768"/>
  <c r="G65" i="20994"/>
  <c r="G119" i="9216"/>
  <c r="G111" i="9216"/>
  <c r="C101" i="32"/>
  <c r="E134" i="32"/>
  <c r="D77" i="32"/>
  <c r="G109" i="32"/>
  <c r="G79" i="2316"/>
  <c r="G127" i="2316"/>
  <c r="E141" i="2316"/>
  <c r="G79" i="768"/>
  <c r="E145" i="20994"/>
  <c r="G136" i="20994"/>
  <c r="C75" i="1024"/>
  <c r="G108" i="32"/>
  <c r="F153" i="3584"/>
  <c r="C138" i="25580"/>
  <c r="E59" i="1024"/>
  <c r="F61" i="32"/>
  <c r="C74" i="3584"/>
  <c r="D108" i="25580"/>
  <c r="C103" i="2316"/>
  <c r="G98" i="1024"/>
  <c r="G74" i="3584"/>
  <c r="G71" i="9216"/>
  <c r="C87" i="9216"/>
  <c r="C79" i="9216"/>
  <c r="G170" i="1024"/>
  <c r="F170" i="25580"/>
  <c r="F170" i="32"/>
  <c r="G170" i="20994"/>
  <c r="F170" i="768"/>
  <c r="F170" i="2316"/>
  <c r="E159" i="25580"/>
  <c r="D101" i="32"/>
  <c r="D130" i="3584"/>
  <c r="M9" i="25582" s="1"/>
  <c r="C82" i="1024"/>
  <c r="D150" i="1024"/>
  <c r="C138" i="3584"/>
  <c r="D91" i="1024"/>
  <c r="G170" i="768"/>
  <c r="G170" i="32"/>
  <c r="F170" i="20994"/>
  <c r="F170" i="9216"/>
  <c r="C69" i="25587"/>
  <c r="G69" i="25586"/>
  <c r="F69" i="25586"/>
  <c r="C69" i="25586"/>
  <c r="F69" i="25587"/>
  <c r="G169" i="2316"/>
  <c r="F169" i="2316"/>
  <c r="G169" i="32"/>
  <c r="F169" i="32"/>
  <c r="F69" i="32"/>
  <c r="C149" i="32"/>
  <c r="E133" i="32"/>
  <c r="G85" i="32"/>
  <c r="G117" i="32"/>
  <c r="G133" i="32"/>
  <c r="E94" i="32"/>
  <c r="G154" i="32"/>
  <c r="C68" i="32"/>
  <c r="F159" i="32"/>
  <c r="E147" i="32"/>
  <c r="G69" i="32"/>
  <c r="C135" i="32"/>
  <c r="C144" i="32"/>
  <c r="C151" i="32"/>
  <c r="G169" i="1024"/>
  <c r="F169" i="1024"/>
  <c r="G169" i="9216"/>
  <c r="F169" i="9216"/>
  <c r="G169" i="20994"/>
  <c r="F169" i="20994"/>
  <c r="G169" i="768"/>
  <c r="F169" i="768"/>
  <c r="G169" i="25580"/>
  <c r="F169" i="25580"/>
  <c r="G169" i="3584"/>
  <c r="E138" i="3584"/>
  <c r="F169" i="3584"/>
  <c r="D27" i="25588"/>
  <c r="D63" i="25590"/>
  <c r="E103" i="25590"/>
  <c r="D15" i="25590"/>
  <c r="F68" i="25587"/>
  <c r="C68" i="25587"/>
  <c r="C68" i="25586"/>
  <c r="G68" i="25586"/>
  <c r="F68" i="25586"/>
  <c r="F168" i="2316"/>
  <c r="G168" i="2316"/>
  <c r="G84" i="32"/>
  <c r="G124" i="32"/>
  <c r="D69" i="32"/>
  <c r="C76" i="32"/>
  <c r="G60" i="32"/>
  <c r="G100" i="32"/>
  <c r="C141" i="32"/>
  <c r="D60" i="32"/>
  <c r="D109" i="32"/>
  <c r="D85" i="32"/>
  <c r="C100" i="32"/>
  <c r="G168" i="32"/>
  <c r="F168" i="32"/>
  <c r="C108" i="32"/>
  <c r="D142" i="32"/>
  <c r="E60" i="32"/>
  <c r="D125" i="32"/>
  <c r="H37" i="25582" s="1"/>
  <c r="D117" i="32"/>
  <c r="G159" i="32"/>
  <c r="E108" i="32"/>
  <c r="C60" i="32"/>
  <c r="D61" i="32"/>
  <c r="C84" i="32"/>
  <c r="E135" i="32"/>
  <c r="G132" i="32"/>
  <c r="E132" i="32"/>
  <c r="C116" i="32"/>
  <c r="G141" i="32"/>
  <c r="G68" i="32"/>
  <c r="D133" i="32"/>
  <c r="D135" i="32"/>
  <c r="F68" i="32"/>
  <c r="G168" i="1024"/>
  <c r="F168" i="1024"/>
  <c r="D148" i="9216"/>
  <c r="F168" i="9216"/>
  <c r="G168" i="9216"/>
  <c r="C68" i="20994"/>
  <c r="E150" i="20994"/>
  <c r="G168" i="20994"/>
  <c r="F168" i="20994"/>
  <c r="G168" i="768"/>
  <c r="F168" i="768"/>
  <c r="C143" i="25580"/>
  <c r="D152" i="25580"/>
  <c r="G168" i="25580"/>
  <c r="F168" i="25580"/>
  <c r="G168" i="3584"/>
  <c r="F168" i="3584"/>
  <c r="E13" i="25588"/>
  <c r="E45" i="25588"/>
  <c r="E69" i="25588"/>
  <c r="E109" i="25588"/>
  <c r="G33" i="25590"/>
  <c r="G57" i="25590"/>
  <c r="G65" i="25590"/>
  <c r="G73" i="25590"/>
  <c r="G81" i="25590"/>
  <c r="G89" i="25590"/>
  <c r="G105" i="25590"/>
  <c r="C67" i="25587"/>
  <c r="F67" i="25587"/>
  <c r="E40" i="25587"/>
  <c r="D29" i="25587"/>
  <c r="G67" i="25586"/>
  <c r="F67" i="25586"/>
  <c r="C67" i="25586"/>
  <c r="E49" i="25590"/>
  <c r="E73" i="25590"/>
  <c r="C86" i="25590"/>
  <c r="D103" i="25590"/>
  <c r="D64" i="25590"/>
  <c r="C79" i="25590"/>
  <c r="C111" i="25590"/>
  <c r="E62" i="2316"/>
  <c r="C62" i="2316"/>
  <c r="E119" i="2316"/>
  <c r="D127" i="2316"/>
  <c r="J18" i="25582" s="1"/>
  <c r="F138" i="2316"/>
  <c r="E138" i="2316"/>
  <c r="D71" i="2316"/>
  <c r="C146" i="2316"/>
  <c r="D147" i="2316"/>
  <c r="F167" i="2316"/>
  <c r="C138" i="2316"/>
  <c r="E79" i="2316"/>
  <c r="C126" i="2316"/>
  <c r="G70" i="2316"/>
  <c r="E73" i="2316"/>
  <c r="C70" i="2316"/>
  <c r="E70" i="2316"/>
  <c r="G167" i="2316"/>
  <c r="F167" i="32"/>
  <c r="G167" i="32"/>
  <c r="G167" i="1024"/>
  <c r="C149" i="1024"/>
  <c r="D158" i="1024"/>
  <c r="C134" i="1024"/>
  <c r="E85" i="1024"/>
  <c r="C123" i="1024"/>
  <c r="D59" i="1024"/>
  <c r="F151" i="1024"/>
  <c r="F67" i="1024"/>
  <c r="C158" i="1024"/>
  <c r="D67" i="1024"/>
  <c r="G107" i="1024"/>
  <c r="C115" i="1024"/>
  <c r="F167" i="1024"/>
  <c r="G149" i="1024"/>
  <c r="D151" i="1024"/>
  <c r="C151" i="1024"/>
  <c r="G91" i="1024"/>
  <c r="E91" i="1024"/>
  <c r="C107" i="1024"/>
  <c r="C91" i="1024"/>
  <c r="G167" i="9216"/>
  <c r="F167" i="9216"/>
  <c r="G104" i="9216"/>
  <c r="D64" i="9216"/>
  <c r="G80" i="9216"/>
  <c r="C104" i="9216"/>
  <c r="G128" i="20994"/>
  <c r="E152" i="20994"/>
  <c r="G81" i="20994"/>
  <c r="C65" i="20994"/>
  <c r="D105" i="20994"/>
  <c r="F60" i="20994"/>
  <c r="C142" i="20994"/>
  <c r="D143" i="20994"/>
  <c r="C104" i="20994"/>
  <c r="F104" i="20994"/>
  <c r="C81" i="20994"/>
  <c r="D124" i="20994"/>
  <c r="G34" i="25582" s="1"/>
  <c r="C150" i="20994"/>
  <c r="F154" i="20994"/>
  <c r="D137" i="20994"/>
  <c r="C112" i="20994"/>
  <c r="D136" i="20994"/>
  <c r="C105" i="20994"/>
  <c r="C97" i="20994"/>
  <c r="C136" i="20994"/>
  <c r="G167" i="20994"/>
  <c r="F167" i="20994"/>
  <c r="D138" i="768"/>
  <c r="C78" i="768"/>
  <c r="G167" i="768"/>
  <c r="F167" i="768"/>
  <c r="C106" i="768"/>
  <c r="C149" i="10285"/>
  <c r="C158" i="10285"/>
  <c r="G167" i="25580"/>
  <c r="F167" i="25580"/>
  <c r="G154" i="25580"/>
  <c r="C152" i="25580"/>
  <c r="F154" i="25580"/>
  <c r="E157" i="25580"/>
  <c r="D83" i="25580"/>
  <c r="D107" i="25580"/>
  <c r="D159" i="25580"/>
  <c r="D144" i="25580"/>
  <c r="C129" i="3584"/>
  <c r="D139" i="3584"/>
  <c r="G167" i="3584"/>
  <c r="F167" i="3584"/>
  <c r="E42" i="25588"/>
  <c r="G66" i="25588"/>
  <c r="E92" i="25588"/>
  <c r="E90" i="25588"/>
  <c r="G98" i="25588"/>
  <c r="D11" i="25588"/>
  <c r="D19" i="25588"/>
  <c r="G35" i="25588"/>
  <c r="E43" i="25588"/>
  <c r="G51" i="25588"/>
  <c r="G59" i="25588"/>
  <c r="D75" i="25588"/>
  <c r="G83" i="25588"/>
  <c r="E107" i="25588"/>
  <c r="E57" i="25590"/>
  <c r="G54" i="25590"/>
  <c r="G78" i="25590"/>
  <c r="G110" i="25590"/>
  <c r="G70" i="25590"/>
  <c r="D23" i="25590"/>
  <c r="D31" i="25590"/>
  <c r="G39" i="25590"/>
  <c r="G47" i="25590"/>
  <c r="D55" i="25590"/>
  <c r="E71" i="25590"/>
  <c r="D87" i="25590"/>
  <c r="D95" i="25590"/>
  <c r="G102" i="25590"/>
  <c r="G87" i="25590"/>
  <c r="E81" i="25590"/>
  <c r="D47" i="25590"/>
  <c r="C66" i="25587"/>
  <c r="E48" i="25586"/>
  <c r="G66" i="25586"/>
  <c r="C66" i="25586"/>
  <c r="E55" i="25590"/>
  <c r="E102" i="25590"/>
  <c r="G34" i="25588"/>
  <c r="E21" i="25588"/>
  <c r="E11" i="25588"/>
  <c r="D91" i="25588"/>
  <c r="G106" i="25588"/>
  <c r="G90" i="25588"/>
  <c r="C70" i="25590"/>
  <c r="E97" i="25590"/>
  <c r="C46" i="25590"/>
  <c r="G71" i="25590"/>
  <c r="D35" i="25588"/>
  <c r="E85" i="25588"/>
  <c r="D71" i="25590"/>
  <c r="G94" i="25590"/>
  <c r="E83" i="25588"/>
  <c r="D107" i="25588"/>
  <c r="E93" i="25588"/>
  <c r="E79" i="25590"/>
  <c r="E95" i="25590"/>
  <c r="G46" i="25590"/>
  <c r="D99" i="25588"/>
  <c r="G55" i="25590"/>
  <c r="E35" i="25588"/>
  <c r="E19" i="25588"/>
  <c r="G95" i="25590"/>
  <c r="F66" i="25586"/>
  <c r="F66" i="25587"/>
  <c r="C99" i="2316"/>
  <c r="G166" i="2316"/>
  <c r="F166" i="2316"/>
  <c r="E166" i="2316"/>
  <c r="E166" i="32"/>
  <c r="F166" i="32"/>
  <c r="G166" i="32"/>
  <c r="F166" i="1024"/>
  <c r="E166" i="1024"/>
  <c r="G166" i="1024"/>
  <c r="F166" i="9216"/>
  <c r="E166" i="9216"/>
  <c r="G166" i="9216"/>
  <c r="G166" i="20994"/>
  <c r="F166" i="20994"/>
  <c r="E166" i="20994"/>
  <c r="F123" i="768"/>
  <c r="G99" i="768"/>
  <c r="F156" i="768"/>
  <c r="F99" i="768"/>
  <c r="F95" i="768"/>
  <c r="G166" i="768"/>
  <c r="C59" i="768"/>
  <c r="F75" i="768"/>
  <c r="C99" i="768"/>
  <c r="C75" i="768"/>
  <c r="F87" i="768"/>
  <c r="C115" i="768"/>
  <c r="G75" i="768"/>
  <c r="F166" i="768"/>
  <c r="E166" i="768"/>
  <c r="F111" i="768"/>
  <c r="E166" i="25580"/>
  <c r="F166" i="25580"/>
  <c r="G166" i="25580"/>
  <c r="D90" i="3584"/>
  <c r="G67" i="3584"/>
  <c r="D81" i="3584"/>
  <c r="F122" i="3584"/>
  <c r="C89" i="3584"/>
  <c r="F65" i="3584"/>
  <c r="D113" i="3584"/>
  <c r="D82" i="3584"/>
  <c r="G122" i="3584"/>
  <c r="E166" i="3584"/>
  <c r="F166" i="3584"/>
  <c r="E89" i="3584"/>
  <c r="G89" i="3584"/>
  <c r="C124" i="3584"/>
  <c r="E113" i="3584"/>
  <c r="D123" i="3584"/>
  <c r="F29" i="25582" s="1"/>
  <c r="G166" i="3584"/>
  <c r="E59" i="3584"/>
  <c r="C113" i="3584"/>
  <c r="D75" i="3584"/>
  <c r="F97" i="3584"/>
  <c r="D114" i="3584"/>
  <c r="C65" i="3584"/>
  <c r="F55" i="25590"/>
  <c r="C65" i="25587"/>
  <c r="F65" i="25587"/>
  <c r="E65" i="25587"/>
  <c r="F22" i="25586"/>
  <c r="F65" i="25586"/>
  <c r="E65" i="25586"/>
  <c r="G65" i="25586"/>
  <c r="F38" i="25586"/>
  <c r="C65" i="25586"/>
  <c r="E165" i="2316"/>
  <c r="G165" i="2316"/>
  <c r="F165" i="2316"/>
  <c r="D151" i="32"/>
  <c r="E165" i="32"/>
  <c r="D145" i="32"/>
  <c r="G165" i="32"/>
  <c r="F128" i="32"/>
  <c r="F165" i="32"/>
  <c r="F149" i="32"/>
  <c r="D148" i="1024"/>
  <c r="E165" i="1024"/>
  <c r="G165" i="1024"/>
  <c r="F165" i="1024"/>
  <c r="G165" i="9216"/>
  <c r="F165" i="9216"/>
  <c r="E165" i="9216"/>
  <c r="C144" i="20994"/>
  <c r="E92" i="20994"/>
  <c r="G131" i="20994"/>
  <c r="F112" i="20994"/>
  <c r="G165" i="20994"/>
  <c r="G68" i="20994"/>
  <c r="D92" i="20994"/>
  <c r="C100" i="20994"/>
  <c r="F165" i="20994"/>
  <c r="E68" i="20994"/>
  <c r="G84" i="20994"/>
  <c r="E60" i="20994"/>
  <c r="C60" i="20994"/>
  <c r="C84" i="20994"/>
  <c r="G60" i="20994"/>
  <c r="E84" i="20994"/>
  <c r="G124" i="20994"/>
  <c r="G92" i="20994"/>
  <c r="E165" i="20994"/>
  <c r="G165" i="768"/>
  <c r="D123" i="768"/>
  <c r="F13" i="25582" s="1"/>
  <c r="G98" i="768"/>
  <c r="F165" i="768"/>
  <c r="E165" i="768"/>
  <c r="F165" i="25580"/>
  <c r="E124" i="25580"/>
  <c r="D134" i="25580"/>
  <c r="D94" i="25580"/>
  <c r="E165" i="25580"/>
  <c r="D62" i="25580"/>
  <c r="G165" i="25580"/>
  <c r="F136" i="3584"/>
  <c r="C59" i="3584"/>
  <c r="C136" i="3584"/>
  <c r="E75" i="3584"/>
  <c r="E67" i="3584"/>
  <c r="E165" i="3584"/>
  <c r="C75" i="3584"/>
  <c r="F59" i="3584"/>
  <c r="F124" i="3584"/>
  <c r="D107" i="3584"/>
  <c r="G165" i="3584"/>
  <c r="G107" i="3584"/>
  <c r="G139" i="3584"/>
  <c r="D59" i="3584"/>
  <c r="G75" i="3584"/>
  <c r="C67" i="3584"/>
  <c r="E107" i="3584"/>
  <c r="D115" i="3584"/>
  <c r="G83" i="3584"/>
  <c r="C99" i="3584"/>
  <c r="F67" i="3584"/>
  <c r="F165" i="3584"/>
  <c r="E64" i="25587"/>
  <c r="C64" i="25587"/>
  <c r="D36" i="25587"/>
  <c r="F43" i="25587"/>
  <c r="F64" i="25587"/>
  <c r="E56" i="25586"/>
  <c r="E64" i="25586"/>
  <c r="G64" i="25586"/>
  <c r="F64" i="25586"/>
  <c r="C64" i="25586"/>
  <c r="F142" i="2316"/>
  <c r="G164" i="2316"/>
  <c r="E87" i="2316"/>
  <c r="C122" i="2316"/>
  <c r="F164" i="2316"/>
  <c r="E164" i="2316"/>
  <c r="E113" i="2316"/>
  <c r="E66" i="2316"/>
  <c r="C66" i="2316"/>
  <c r="D66" i="2316"/>
  <c r="F66" i="2316"/>
  <c r="G66" i="2316"/>
  <c r="D130" i="32"/>
  <c r="C145" i="32"/>
  <c r="E137" i="32"/>
  <c r="G164" i="32"/>
  <c r="F137" i="32"/>
  <c r="E129" i="32"/>
  <c r="D64" i="32"/>
  <c r="C137" i="32"/>
  <c r="F164" i="32"/>
  <c r="E164" i="32"/>
  <c r="F157" i="32"/>
  <c r="C129" i="32"/>
  <c r="G150" i="32"/>
  <c r="F141" i="32"/>
  <c r="F129" i="32"/>
  <c r="D157" i="32"/>
  <c r="D150" i="32"/>
  <c r="F145" i="32"/>
  <c r="G164" i="1024"/>
  <c r="F164" i="1024"/>
  <c r="D154" i="1024"/>
  <c r="E164" i="1024"/>
  <c r="F164" i="9216"/>
  <c r="E164" i="9216"/>
  <c r="F131" i="9216"/>
  <c r="G59" i="9216"/>
  <c r="F107" i="9216"/>
  <c r="C138" i="9216"/>
  <c r="C131" i="9216"/>
  <c r="G164" i="9216"/>
  <c r="D101" i="20994"/>
  <c r="G164" i="20994"/>
  <c r="F164" i="20994"/>
  <c r="E164" i="20994"/>
  <c r="C150" i="768"/>
  <c r="G164" i="768"/>
  <c r="D71" i="768"/>
  <c r="F164" i="768"/>
  <c r="E164" i="768"/>
  <c r="F150" i="768"/>
  <c r="C74" i="10285"/>
  <c r="G74" i="10285" s="1"/>
  <c r="F136" i="25580"/>
  <c r="G164" i="25580"/>
  <c r="E144" i="25580"/>
  <c r="F164" i="25580"/>
  <c r="E164" i="25580"/>
  <c r="G143" i="25580"/>
  <c r="G151" i="25580"/>
  <c r="F111" i="25580"/>
  <c r="F81" i="3584"/>
  <c r="E85" i="3584"/>
  <c r="G164" i="3584"/>
  <c r="G69" i="3584"/>
  <c r="G61" i="3584"/>
  <c r="F164" i="3584"/>
  <c r="E164" i="3584"/>
  <c r="F61" i="3584"/>
  <c r="C101" i="3584"/>
  <c r="E61" i="3584"/>
  <c r="E93" i="3584"/>
  <c r="F113" i="3584"/>
  <c r="D62" i="25588"/>
  <c r="E77" i="25588"/>
  <c r="D102" i="25588"/>
  <c r="F67" i="25588"/>
  <c r="C93" i="25588"/>
  <c r="F23" i="25588"/>
  <c r="F79" i="25588"/>
  <c r="F43" i="25588"/>
  <c r="F83" i="25588"/>
  <c r="F59" i="25588"/>
  <c r="F75" i="25588"/>
  <c r="F107" i="25588"/>
  <c r="D20" i="25590"/>
  <c r="F103" i="25590"/>
  <c r="E43" i="25590"/>
  <c r="F32" i="25590"/>
  <c r="F72" i="25590"/>
  <c r="F63" i="25590"/>
  <c r="F23" i="25590"/>
  <c r="F43" i="25590"/>
  <c r="C63" i="25587"/>
  <c r="F63" i="25587"/>
  <c r="C24" i="25587"/>
  <c r="E63" i="25587"/>
  <c r="C54" i="25587"/>
  <c r="G63" i="25586"/>
  <c r="F63" i="25586"/>
  <c r="D53" i="25586"/>
  <c r="D54" i="25586"/>
  <c r="E63" i="25586"/>
  <c r="F53" i="25586"/>
  <c r="F30" i="25586"/>
  <c r="C63" i="25586"/>
  <c r="F75" i="2316"/>
  <c r="E163" i="2316"/>
  <c r="F163" i="2316"/>
  <c r="G163" i="2316"/>
  <c r="E89" i="32"/>
  <c r="E163" i="32"/>
  <c r="F163" i="32"/>
  <c r="G163" i="32"/>
  <c r="G104" i="1024"/>
  <c r="D113" i="1024"/>
  <c r="C64" i="1024"/>
  <c r="F163" i="1024"/>
  <c r="F158" i="1024"/>
  <c r="C146" i="1024"/>
  <c r="E64" i="1024"/>
  <c r="G163" i="1024"/>
  <c r="C72" i="1024"/>
  <c r="F146" i="1024"/>
  <c r="F95" i="1024"/>
  <c r="E163" i="1024"/>
  <c r="E163" i="9216"/>
  <c r="G163" i="9216"/>
  <c r="F76" i="9216"/>
  <c r="G148" i="9216"/>
  <c r="F163" i="9216"/>
  <c r="F130" i="20994"/>
  <c r="F110" i="20994"/>
  <c r="D150" i="20994"/>
  <c r="F163" i="20994"/>
  <c r="E105" i="20994"/>
  <c r="G150" i="20994"/>
  <c r="G144" i="20994"/>
  <c r="C130" i="20994"/>
  <c r="C77" i="20994"/>
  <c r="G163" i="20994"/>
  <c r="F93" i="20994"/>
  <c r="F156" i="20994"/>
  <c r="E142" i="20994"/>
  <c r="E136" i="20994"/>
  <c r="G102" i="20994"/>
  <c r="F143" i="20994"/>
  <c r="G141" i="20994"/>
  <c r="E137" i="20994"/>
  <c r="E120" i="20994"/>
  <c r="E126" i="20994"/>
  <c r="E133" i="20994"/>
  <c r="C118" i="20994"/>
  <c r="E163" i="20994"/>
  <c r="D66" i="768"/>
  <c r="G146" i="768"/>
  <c r="F163" i="768"/>
  <c r="E114" i="768"/>
  <c r="G106" i="768"/>
  <c r="G163" i="768"/>
  <c r="E111" i="768"/>
  <c r="G138" i="768"/>
  <c r="C114" i="768"/>
  <c r="C122" i="768"/>
  <c r="C90" i="768"/>
  <c r="D91" i="768"/>
  <c r="D136" i="768"/>
  <c r="D141" i="768"/>
  <c r="E163" i="768"/>
  <c r="G159" i="768"/>
  <c r="C150" i="10285"/>
  <c r="C68" i="10285"/>
  <c r="G68" i="10285" s="1"/>
  <c r="C60" i="10285"/>
  <c r="F60" i="10285" s="1"/>
  <c r="C132" i="10285"/>
  <c r="E132" i="25580"/>
  <c r="D95" i="25580"/>
  <c r="E99" i="25580"/>
  <c r="E134" i="25580"/>
  <c r="G102" i="25580"/>
  <c r="E126" i="25580"/>
  <c r="F130" i="25580"/>
  <c r="C62" i="25580"/>
  <c r="C155" i="25580"/>
  <c r="E130" i="25580"/>
  <c r="E62" i="25580"/>
  <c r="C126" i="25580"/>
  <c r="D126" i="25580"/>
  <c r="G126" i="25580"/>
  <c r="D118" i="25580"/>
  <c r="C118" i="25580"/>
  <c r="G62" i="25580"/>
  <c r="E147" i="25580"/>
  <c r="E100" i="25580"/>
  <c r="F138" i="25580"/>
  <c r="E101" i="25580"/>
  <c r="C132" i="25580"/>
  <c r="D110" i="25580"/>
  <c r="E75" i="25580"/>
  <c r="F62" i="25580"/>
  <c r="E155" i="25580"/>
  <c r="C94" i="25580"/>
  <c r="D70" i="25580"/>
  <c r="D155" i="25580"/>
  <c r="C110" i="25580"/>
  <c r="E70" i="25580"/>
  <c r="E163" i="25580"/>
  <c r="E123" i="25580"/>
  <c r="E73" i="25580"/>
  <c r="D147" i="25580"/>
  <c r="F155" i="25580"/>
  <c r="G70" i="25580"/>
  <c r="G163" i="25580"/>
  <c r="D79" i="25580"/>
  <c r="G147" i="25580"/>
  <c r="G94" i="25580"/>
  <c r="E76" i="25580"/>
  <c r="C102" i="25580"/>
  <c r="G118" i="25580"/>
  <c r="E102" i="25580"/>
  <c r="E77" i="25580"/>
  <c r="F159" i="25580"/>
  <c r="C70" i="25580"/>
  <c r="F146" i="25580"/>
  <c r="F132" i="25580"/>
  <c r="E125" i="25580"/>
  <c r="F163" i="25580"/>
  <c r="G76" i="3584"/>
  <c r="C150" i="3584"/>
  <c r="D146" i="3584"/>
  <c r="F150" i="3584"/>
  <c r="E60" i="3584"/>
  <c r="G154" i="3584"/>
  <c r="E163" i="3584"/>
  <c r="F68" i="3584"/>
  <c r="F72" i="3584"/>
  <c r="D101" i="3584"/>
  <c r="G137" i="3584"/>
  <c r="F163" i="3584"/>
  <c r="F104" i="3584"/>
  <c r="E68" i="3584"/>
  <c r="D60" i="3584"/>
  <c r="G163" i="3584"/>
  <c r="E22" i="25588"/>
  <c r="F86" i="25588"/>
  <c r="G47" i="25588"/>
  <c r="F57" i="25588"/>
  <c r="F81" i="25588"/>
  <c r="F101" i="25588"/>
  <c r="G79" i="25588"/>
  <c r="E14" i="25590"/>
  <c r="F42" i="25590"/>
  <c r="F86" i="25590"/>
  <c r="E27" i="25590"/>
  <c r="D24" i="25587"/>
  <c r="E49" i="25587"/>
  <c r="C38" i="25587"/>
  <c r="C62" i="25587"/>
  <c r="D44" i="25587"/>
  <c r="E62" i="25587"/>
  <c r="E31" i="25587"/>
  <c r="F62" i="25587"/>
  <c r="E62" i="25586"/>
  <c r="F62" i="25586"/>
  <c r="G62" i="25586"/>
  <c r="C62" i="25586"/>
  <c r="G35" i="25590"/>
  <c r="G46" i="25588"/>
  <c r="D138" i="2316"/>
  <c r="C140" i="2316"/>
  <c r="D117" i="2316"/>
  <c r="E162" i="2316"/>
  <c r="G107" i="2316"/>
  <c r="G162" i="2316"/>
  <c r="F87" i="2316"/>
  <c r="F91" i="2316"/>
  <c r="F149" i="2316"/>
  <c r="F157" i="2316"/>
  <c r="F162" i="2316"/>
  <c r="G147" i="2316"/>
  <c r="F121" i="32"/>
  <c r="F105" i="32"/>
  <c r="F162" i="32"/>
  <c r="F125" i="32"/>
  <c r="C148" i="32"/>
  <c r="G89" i="32"/>
  <c r="G66" i="32"/>
  <c r="C143" i="32"/>
  <c r="D155" i="32"/>
  <c r="E162" i="32"/>
  <c r="E140" i="32"/>
  <c r="F113" i="32"/>
  <c r="G162" i="32"/>
  <c r="C70" i="32"/>
  <c r="F140" i="1024"/>
  <c r="G66" i="1024"/>
  <c r="F62" i="1024"/>
  <c r="E62" i="1024"/>
  <c r="G82" i="1024"/>
  <c r="G63" i="1024"/>
  <c r="C71" i="1024"/>
  <c r="C95" i="1024"/>
  <c r="F103" i="1024"/>
  <c r="E156" i="1024"/>
  <c r="E162" i="1024"/>
  <c r="G90" i="1024"/>
  <c r="F102" i="1024"/>
  <c r="G162" i="1024"/>
  <c r="D83" i="1024"/>
  <c r="C66" i="1024"/>
  <c r="C90" i="1024"/>
  <c r="E90" i="1024"/>
  <c r="C98" i="1024"/>
  <c r="G81" i="1024"/>
  <c r="C97" i="1024"/>
  <c r="C121" i="1024"/>
  <c r="C129" i="1024"/>
  <c r="C133" i="1024"/>
  <c r="E83" i="1024"/>
  <c r="E88" i="1024"/>
  <c r="D145" i="1024"/>
  <c r="F134" i="1024"/>
  <c r="F66" i="1024"/>
  <c r="E101" i="1024"/>
  <c r="E93" i="1024"/>
  <c r="G146" i="1024"/>
  <c r="C118" i="1024"/>
  <c r="E66" i="1024"/>
  <c r="C74" i="1024"/>
  <c r="G158" i="1024"/>
  <c r="G74" i="1024"/>
  <c r="F162" i="1024"/>
  <c r="F100" i="9216"/>
  <c r="G76" i="9216"/>
  <c r="C120" i="9216"/>
  <c r="F112" i="9216"/>
  <c r="D80" i="9216"/>
  <c r="G72" i="9216"/>
  <c r="G99" i="9216"/>
  <c r="G162" i="9216"/>
  <c r="D93" i="9216"/>
  <c r="D101" i="9216"/>
  <c r="D120" i="9216"/>
  <c r="C112" i="9216"/>
  <c r="C80" i="9216"/>
  <c r="G96" i="9216"/>
  <c r="F139" i="9216"/>
  <c r="C147" i="9216"/>
  <c r="C130" i="9216"/>
  <c r="C141" i="9216"/>
  <c r="E152" i="9216"/>
  <c r="E154" i="9216"/>
  <c r="E162" i="9216"/>
  <c r="D112" i="9216"/>
  <c r="D88" i="9216"/>
  <c r="C139" i="9216"/>
  <c r="G112" i="9216"/>
  <c r="D140" i="9216"/>
  <c r="E96" i="9216"/>
  <c r="C88" i="9216"/>
  <c r="G136" i="9216"/>
  <c r="F159" i="9216"/>
  <c r="G139" i="9216"/>
  <c r="C64" i="9216"/>
  <c r="G88" i="9216"/>
  <c r="G120" i="9216"/>
  <c r="D96" i="9216"/>
  <c r="E64" i="9216"/>
  <c r="F64" i="9216"/>
  <c r="F162" i="9216"/>
  <c r="E104" i="9216"/>
  <c r="G128" i="9216"/>
  <c r="C96" i="9216"/>
  <c r="C116" i="9216"/>
  <c r="C128" i="9216"/>
  <c r="G94" i="20994"/>
  <c r="F120" i="20994"/>
  <c r="F61" i="20994"/>
  <c r="D146" i="20994"/>
  <c r="E85" i="20994"/>
  <c r="F135" i="20994"/>
  <c r="C108" i="20994"/>
  <c r="G85" i="20994"/>
  <c r="D86" i="20994"/>
  <c r="F64" i="20994"/>
  <c r="F116" i="20994"/>
  <c r="D119" i="20994"/>
  <c r="B14" i="25582" s="1"/>
  <c r="C127" i="20994"/>
  <c r="G156" i="20994"/>
  <c r="G158" i="20994"/>
  <c r="C124" i="20994"/>
  <c r="E93" i="20994"/>
  <c r="C61" i="20994"/>
  <c r="G116" i="20994"/>
  <c r="F77" i="20994"/>
  <c r="E102" i="20994"/>
  <c r="F124" i="20994"/>
  <c r="G108" i="20994"/>
  <c r="G110" i="20994"/>
  <c r="F97" i="20994"/>
  <c r="C93" i="20994"/>
  <c r="G129" i="20994"/>
  <c r="F101" i="20994"/>
  <c r="E146" i="20994"/>
  <c r="F158" i="20994"/>
  <c r="C146" i="20994"/>
  <c r="F162" i="20994"/>
  <c r="G61" i="20994"/>
  <c r="G101" i="20994"/>
  <c r="G78" i="20994"/>
  <c r="C116" i="20994"/>
  <c r="G162" i="20994"/>
  <c r="D108" i="20994"/>
  <c r="E61" i="20994"/>
  <c r="C101" i="20994"/>
  <c r="F89" i="20994"/>
  <c r="D116" i="20994"/>
  <c r="C85" i="20994"/>
  <c r="D85" i="20994"/>
  <c r="E162" i="20994"/>
  <c r="C76" i="768"/>
  <c r="E60" i="768"/>
  <c r="G148" i="768"/>
  <c r="E68" i="768"/>
  <c r="C68" i="768"/>
  <c r="C116" i="768"/>
  <c r="G61" i="768"/>
  <c r="E69" i="768"/>
  <c r="G77" i="768"/>
  <c r="G149" i="768"/>
  <c r="F141" i="768"/>
  <c r="G132" i="768"/>
  <c r="F146" i="768"/>
  <c r="D148" i="768"/>
  <c r="F88" i="768"/>
  <c r="G140" i="768"/>
  <c r="G68" i="768"/>
  <c r="D150" i="768"/>
  <c r="C151" i="768"/>
  <c r="C144" i="768"/>
  <c r="D87" i="768"/>
  <c r="E98" i="768"/>
  <c r="D119" i="768"/>
  <c r="B33" i="25582" s="1"/>
  <c r="E151" i="768"/>
  <c r="G151" i="768"/>
  <c r="F162" i="768"/>
  <c r="C133" i="768"/>
  <c r="D151" i="768"/>
  <c r="E108" i="768"/>
  <c r="G81" i="768"/>
  <c r="E162" i="768"/>
  <c r="D108" i="768"/>
  <c r="D149" i="768"/>
  <c r="F68" i="768"/>
  <c r="E116" i="768"/>
  <c r="C100" i="768"/>
  <c r="G162" i="768"/>
  <c r="F96" i="25580"/>
  <c r="G142" i="25580"/>
  <c r="F100" i="25580"/>
  <c r="E154" i="25580"/>
  <c r="E151" i="25580"/>
  <c r="C136" i="25580"/>
  <c r="G80" i="25580"/>
  <c r="F88" i="25580"/>
  <c r="C72" i="25580"/>
  <c r="E137" i="25580"/>
  <c r="E145" i="25580"/>
  <c r="F162" i="25580"/>
  <c r="C96" i="25580"/>
  <c r="D137" i="25580"/>
  <c r="D136" i="25580"/>
  <c r="E152" i="25580"/>
  <c r="C80" i="25580"/>
  <c r="F142" i="25580"/>
  <c r="G74" i="25580"/>
  <c r="E142" i="25580"/>
  <c r="E136" i="25580"/>
  <c r="D143" i="25580"/>
  <c r="E162" i="25580"/>
  <c r="E146" i="25580"/>
  <c r="E80" i="25580"/>
  <c r="C142" i="25580"/>
  <c r="E72" i="25580"/>
  <c r="G162" i="25580"/>
  <c r="F124" i="25580"/>
  <c r="E96" i="25580"/>
  <c r="F84" i="25580"/>
  <c r="D73" i="25580"/>
  <c r="C64" i="25580"/>
  <c r="F108" i="25580"/>
  <c r="E150" i="3584"/>
  <c r="G84" i="3584"/>
  <c r="E146" i="3584"/>
  <c r="G119" i="3584"/>
  <c r="C68" i="3584"/>
  <c r="C69" i="3584"/>
  <c r="C85" i="3584"/>
  <c r="C117" i="3584"/>
  <c r="F138" i="3584"/>
  <c r="C137" i="3584"/>
  <c r="C145" i="3584"/>
  <c r="F162" i="3584"/>
  <c r="C158" i="3584"/>
  <c r="C60" i="3584"/>
  <c r="C76" i="3584"/>
  <c r="F80" i="3584"/>
  <c r="G108" i="3584"/>
  <c r="G136" i="3584"/>
  <c r="F62" i="3584"/>
  <c r="F70" i="3584"/>
  <c r="F90" i="3584"/>
  <c r="D86" i="3584"/>
  <c r="F106" i="3584"/>
  <c r="C102" i="3584"/>
  <c r="C110" i="3584"/>
  <c r="F130" i="3584"/>
  <c r="G151" i="3584"/>
  <c r="D148" i="3584"/>
  <c r="D156" i="3584"/>
  <c r="D69" i="3584"/>
  <c r="D129" i="3584"/>
  <c r="L29" i="25582" s="1"/>
  <c r="F60" i="3584"/>
  <c r="E136" i="3584"/>
  <c r="D61" i="3584"/>
  <c r="G162" i="3584"/>
  <c r="E76" i="3584"/>
  <c r="G68" i="3584"/>
  <c r="F92" i="3584"/>
  <c r="D68" i="3584"/>
  <c r="E73" i="3584"/>
  <c r="E81" i="3584"/>
  <c r="G159" i="3584"/>
  <c r="D112" i="3584"/>
  <c r="C152" i="3584"/>
  <c r="E162" i="3584"/>
  <c r="F112" i="3584"/>
  <c r="G149" i="3584"/>
  <c r="F159" i="3584"/>
  <c r="E116" i="3584"/>
  <c r="C123" i="3584"/>
  <c r="D64" i="3584"/>
  <c r="E79" i="3584"/>
  <c r="D76" i="3584"/>
  <c r="G60" i="3584"/>
  <c r="G59" i="3584"/>
  <c r="E83" i="3584"/>
  <c r="C91" i="3584"/>
  <c r="C115" i="3584"/>
  <c r="C134" i="3584"/>
  <c r="C153" i="3584"/>
  <c r="C155" i="3584"/>
  <c r="E34" i="25588"/>
  <c r="D15" i="25588"/>
  <c r="G39" i="25588"/>
  <c r="G55" i="25588"/>
  <c r="G63" i="25588"/>
  <c r="D79" i="25588"/>
  <c r="E87" i="25588"/>
  <c r="F46" i="25588"/>
  <c r="G91" i="25590"/>
  <c r="E28" i="25590"/>
  <c r="G43" i="25590"/>
  <c r="F47" i="25590"/>
  <c r="F35" i="25590"/>
  <c r="F39" i="25590"/>
  <c r="F31" i="25590"/>
  <c r="E32" i="25587"/>
  <c r="C16" i="25587"/>
  <c r="C56" i="25587"/>
  <c r="F51" i="25587"/>
  <c r="E12" i="25587"/>
  <c r="C23" i="25587"/>
  <c r="C28" i="25587"/>
  <c r="F28" i="25587"/>
  <c r="C36" i="25587"/>
  <c r="C13" i="25587"/>
  <c r="D32" i="25587"/>
  <c r="C57" i="25587"/>
  <c r="C40" i="25587"/>
  <c r="C31" i="25587"/>
  <c r="C41" i="25587"/>
  <c r="C47" i="25587"/>
  <c r="F24" i="25587"/>
  <c r="D40" i="25587"/>
  <c r="C20" i="25587"/>
  <c r="C39" i="25587"/>
  <c r="F36" i="25587"/>
  <c r="E51" i="25587"/>
  <c r="C48" i="25587"/>
  <c r="D16" i="25587"/>
  <c r="C8" i="25587"/>
  <c r="E39" i="25587"/>
  <c r="E47" i="25587"/>
  <c r="C29" i="25587"/>
  <c r="C32" i="25587"/>
  <c r="F20" i="25587"/>
  <c r="C51" i="25587"/>
  <c r="F32" i="25587"/>
  <c r="E22" i="25586"/>
  <c r="F45" i="25586"/>
  <c r="E26" i="25586"/>
  <c r="E29" i="25586"/>
  <c r="F51" i="25586"/>
  <c r="G33" i="25586"/>
  <c r="G39" i="25586"/>
  <c r="F33" i="25586"/>
  <c r="F39" i="25586"/>
  <c r="E51" i="25586"/>
  <c r="D52" i="25586"/>
  <c r="E18" i="25586"/>
  <c r="D39" i="25586"/>
  <c r="D26" i="25586"/>
  <c r="G55" i="25586"/>
  <c r="D56" i="25586"/>
  <c r="D12" i="25590"/>
  <c r="F51" i="25588"/>
  <c r="F71" i="25588"/>
  <c r="F35" i="25588"/>
  <c r="E39" i="25588"/>
  <c r="F27" i="25590"/>
  <c r="E47" i="25588"/>
  <c r="D100" i="25590"/>
  <c r="D16" i="25588"/>
  <c r="C40" i="25588"/>
  <c r="F47" i="25588"/>
  <c r="C37" i="25590"/>
  <c r="E15" i="25588"/>
  <c r="F39" i="25588"/>
  <c r="F91" i="25588"/>
  <c r="F27" i="25588"/>
  <c r="F55" i="25588"/>
  <c r="F61" i="25587"/>
  <c r="C61" i="25587"/>
  <c r="E61" i="25586"/>
  <c r="D38" i="25586"/>
  <c r="G61" i="25586"/>
  <c r="E54" i="25587"/>
  <c r="E61" i="25587"/>
  <c r="D41" i="25586"/>
  <c r="F57" i="25587"/>
  <c r="C61" i="25586"/>
  <c r="F61" i="25586"/>
  <c r="F107" i="2316"/>
  <c r="C145" i="2316"/>
  <c r="E137" i="2316"/>
  <c r="C75" i="2316"/>
  <c r="G137" i="2316"/>
  <c r="C115" i="2316"/>
  <c r="G99" i="2316"/>
  <c r="F95" i="2316"/>
  <c r="D116" i="2316"/>
  <c r="G150" i="2316"/>
  <c r="F99" i="2316"/>
  <c r="F93" i="2316"/>
  <c r="E75" i="2316"/>
  <c r="G139" i="2316"/>
  <c r="E145" i="2316"/>
  <c r="C107" i="2316"/>
  <c r="C150" i="2316"/>
  <c r="G145" i="2316"/>
  <c r="C91" i="2316"/>
  <c r="D75" i="2316"/>
  <c r="F115" i="2316"/>
  <c r="D100" i="2316"/>
  <c r="G115" i="2316"/>
  <c r="F150" i="2316"/>
  <c r="C123" i="2316"/>
  <c r="E115" i="2316"/>
  <c r="C137" i="2316"/>
  <c r="D88" i="2316"/>
  <c r="F119" i="2316"/>
  <c r="G123" i="2316"/>
  <c r="F117" i="32"/>
  <c r="G129" i="32"/>
  <c r="C121" i="32"/>
  <c r="G137" i="32"/>
  <c r="F109" i="32"/>
  <c r="D121" i="32"/>
  <c r="D17" i="25582" s="1"/>
  <c r="G121" i="32"/>
  <c r="G65" i="32"/>
  <c r="F85" i="32"/>
  <c r="F74" i="32"/>
  <c r="G145" i="32"/>
  <c r="F152" i="32"/>
  <c r="E65" i="32"/>
  <c r="F133" i="32"/>
  <c r="D149" i="32"/>
  <c r="G97" i="32"/>
  <c r="C65" i="32"/>
  <c r="F97" i="32"/>
  <c r="F65" i="32"/>
  <c r="F77" i="32"/>
  <c r="F73" i="32"/>
  <c r="G73" i="32"/>
  <c r="G148" i="32"/>
  <c r="F89" i="32"/>
  <c r="C105" i="32"/>
  <c r="G113" i="32"/>
  <c r="C73" i="32"/>
  <c r="C113" i="32"/>
  <c r="E158" i="1024"/>
  <c r="D88" i="1024"/>
  <c r="F139" i="1024"/>
  <c r="G103" i="1024"/>
  <c r="G79" i="1024"/>
  <c r="C127" i="1024"/>
  <c r="C154" i="1024"/>
  <c r="E87" i="1024"/>
  <c r="D120" i="1024"/>
  <c r="C36" i="25582" s="1"/>
  <c r="F83" i="1024"/>
  <c r="G95" i="1024"/>
  <c r="G119" i="1024"/>
  <c r="G127" i="1024"/>
  <c r="G111" i="1024"/>
  <c r="D73" i="1024"/>
  <c r="G143" i="1024"/>
  <c r="F71" i="1024"/>
  <c r="F123" i="1024"/>
  <c r="F87" i="1024"/>
  <c r="C143" i="1024"/>
  <c r="F75" i="1024"/>
  <c r="F119" i="1024"/>
  <c r="C87" i="1024"/>
  <c r="F127" i="1024"/>
  <c r="G151" i="1024"/>
  <c r="C119" i="1024"/>
  <c r="F115" i="1024"/>
  <c r="F91" i="1024"/>
  <c r="F152" i="1024"/>
  <c r="C111" i="1024"/>
  <c r="C79" i="1024"/>
  <c r="D61" i="9216"/>
  <c r="F136" i="9216"/>
  <c r="E157" i="9216"/>
  <c r="G132" i="9216"/>
  <c r="F83" i="9216"/>
  <c r="D60" i="9216"/>
  <c r="D109" i="9216"/>
  <c r="C108" i="9216"/>
  <c r="F80" i="9216"/>
  <c r="G124" i="9216"/>
  <c r="C68" i="9216"/>
  <c r="F88" i="9216"/>
  <c r="F92" i="9216"/>
  <c r="C124" i="9216"/>
  <c r="G140" i="9216"/>
  <c r="G116" i="9216"/>
  <c r="F128" i="9216"/>
  <c r="E68" i="9216"/>
  <c r="C60" i="9216"/>
  <c r="F68" i="9216"/>
  <c r="G68" i="9216"/>
  <c r="F124" i="9216"/>
  <c r="G92" i="9216"/>
  <c r="F132" i="9216"/>
  <c r="D154" i="9216"/>
  <c r="D155" i="9216"/>
  <c r="F72" i="9216"/>
  <c r="F108" i="9216"/>
  <c r="D133" i="9216"/>
  <c r="E60" i="9216"/>
  <c r="D117" i="9216"/>
  <c r="F120" i="9216"/>
  <c r="D125" i="9216"/>
  <c r="C155" i="9216"/>
  <c r="F59" i="9216"/>
  <c r="F79" i="9216"/>
  <c r="C146" i="9216"/>
  <c r="D100" i="9216"/>
  <c r="D84" i="9216"/>
  <c r="F71" i="9216"/>
  <c r="D59" i="9216"/>
  <c r="E59" i="9216"/>
  <c r="F150" i="9216"/>
  <c r="F75" i="9216"/>
  <c r="E111" i="9216"/>
  <c r="D76" i="9216"/>
  <c r="G83" i="9216"/>
  <c r="F67" i="9216"/>
  <c r="G75" i="9216"/>
  <c r="F115" i="9216"/>
  <c r="D147" i="9216"/>
  <c r="E67" i="9216"/>
  <c r="F105" i="9216"/>
  <c r="F95" i="9216"/>
  <c r="C67" i="9216"/>
  <c r="D139" i="9216"/>
  <c r="G67" i="9216"/>
  <c r="F87" i="9216"/>
  <c r="D124" i="9216"/>
  <c r="G35" i="25582" s="1"/>
  <c r="C115" i="9216"/>
  <c r="D116" i="9216"/>
  <c r="C75" i="9216"/>
  <c r="E156" i="9216"/>
  <c r="D68" i="9216"/>
  <c r="F91" i="9216"/>
  <c r="G147" i="9216"/>
  <c r="D157" i="9216"/>
  <c r="F141" i="9216"/>
  <c r="D97" i="9216"/>
  <c r="D89" i="9216"/>
  <c r="G144" i="9216"/>
  <c r="E135" i="9216"/>
  <c r="C157" i="9216"/>
  <c r="G156" i="9216"/>
  <c r="C156" i="9216"/>
  <c r="D110" i="20994"/>
  <c r="E104" i="20994"/>
  <c r="F137" i="20994"/>
  <c r="E71" i="20994"/>
  <c r="E77" i="20994"/>
  <c r="F141" i="20994"/>
  <c r="E101" i="20994"/>
  <c r="D79" i="20994"/>
  <c r="D109" i="20994"/>
  <c r="F129" i="20994"/>
  <c r="D125" i="20994"/>
  <c r="D117" i="20994"/>
  <c r="G149" i="20994"/>
  <c r="G109" i="20994"/>
  <c r="F94" i="20994"/>
  <c r="E74" i="20994"/>
  <c r="E78" i="20994"/>
  <c r="E141" i="20994"/>
  <c r="D94" i="20994"/>
  <c r="C125" i="20994"/>
  <c r="E153" i="20994"/>
  <c r="F90" i="20994"/>
  <c r="D118" i="20994"/>
  <c r="C102" i="20994"/>
  <c r="F82" i="20994"/>
  <c r="G125" i="20994"/>
  <c r="D142" i="20994"/>
  <c r="C86" i="20994"/>
  <c r="E81" i="20994"/>
  <c r="G70" i="20994"/>
  <c r="E97" i="20994"/>
  <c r="D87" i="20994"/>
  <c r="E125" i="20994"/>
  <c r="E98" i="20994"/>
  <c r="F98" i="20994"/>
  <c r="F86" i="20994"/>
  <c r="G153" i="20994"/>
  <c r="E70" i="20994"/>
  <c r="E135" i="20994"/>
  <c r="D102" i="20994"/>
  <c r="C78" i="20994"/>
  <c r="E94" i="20994"/>
  <c r="G117" i="20994"/>
  <c r="G157" i="20994"/>
  <c r="E82" i="20994"/>
  <c r="C94" i="20994"/>
  <c r="D78" i="20994"/>
  <c r="C117" i="20994"/>
  <c r="F102" i="20994"/>
  <c r="E100" i="20994"/>
  <c r="D135" i="768"/>
  <c r="C139" i="768"/>
  <c r="C72" i="768"/>
  <c r="D65" i="768"/>
  <c r="F147" i="768"/>
  <c r="G147" i="768"/>
  <c r="G128" i="768"/>
  <c r="E112" i="768"/>
  <c r="C125" i="768"/>
  <c r="G102" i="768"/>
  <c r="E147" i="768"/>
  <c r="D112" i="768"/>
  <c r="C112" i="768"/>
  <c r="C69" i="768"/>
  <c r="D69" i="768"/>
  <c r="F128" i="768"/>
  <c r="F84" i="768"/>
  <c r="D128" i="768"/>
  <c r="F134" i="768"/>
  <c r="F104" i="768"/>
  <c r="F116" i="768"/>
  <c r="D139" i="768"/>
  <c r="D80" i="768"/>
  <c r="D72" i="768"/>
  <c r="F124" i="768"/>
  <c r="G64" i="768"/>
  <c r="F139" i="768"/>
  <c r="E64" i="768"/>
  <c r="E90" i="25580"/>
  <c r="E122" i="25580"/>
  <c r="E106" i="3584"/>
  <c r="E127" i="3584"/>
  <c r="C78" i="3584"/>
  <c r="E102" i="3584"/>
  <c r="E97" i="3584"/>
  <c r="D94" i="3584"/>
  <c r="C118" i="3584"/>
  <c r="E122" i="3584"/>
  <c r="C94" i="3584"/>
  <c r="D103" i="3584"/>
  <c r="E120" i="3584"/>
  <c r="D128" i="3584"/>
  <c r="K29" i="25582" s="1"/>
  <c r="E119" i="3584"/>
  <c r="D155" i="3584"/>
  <c r="F110" i="3584"/>
  <c r="G142" i="3584"/>
  <c r="E129" i="3584"/>
  <c r="E118" i="3584"/>
  <c r="E126" i="3584"/>
  <c r="E123" i="3584"/>
  <c r="E98" i="3584"/>
  <c r="F114" i="3584"/>
  <c r="C127" i="3584"/>
  <c r="E104" i="3584"/>
  <c r="G148" i="3584"/>
  <c r="G62" i="3584"/>
  <c r="F158" i="3584"/>
  <c r="C156" i="3584"/>
  <c r="E105" i="3584"/>
  <c r="G156" i="3584"/>
  <c r="G118" i="3584"/>
  <c r="E99" i="3584"/>
  <c r="E101" i="3584"/>
  <c r="E94" i="3584"/>
  <c r="E78" i="3584"/>
  <c r="D149" i="3584"/>
  <c r="F94" i="3584"/>
  <c r="C74" i="25588"/>
  <c r="C18" i="25588"/>
  <c r="F97" i="25588"/>
  <c r="C101" i="25588"/>
  <c r="E100" i="25590"/>
  <c r="D54" i="25590"/>
  <c r="F81" i="25590"/>
  <c r="F85" i="25590"/>
  <c r="E56" i="25587"/>
  <c r="E53" i="25587"/>
  <c r="C17" i="25587"/>
  <c r="C25" i="25587"/>
  <c r="E42" i="25587"/>
  <c r="F53" i="25587"/>
  <c r="C53" i="25587"/>
  <c r="C33" i="25587"/>
  <c r="E9" i="25587"/>
  <c r="D33" i="25587"/>
  <c r="G53" i="25586"/>
  <c r="G43" i="25586"/>
  <c r="D22" i="25586"/>
  <c r="E21" i="25586"/>
  <c r="F29" i="25586"/>
  <c r="E38" i="25586"/>
  <c r="G45" i="25586"/>
  <c r="F55" i="25586"/>
  <c r="D44" i="25586"/>
  <c r="E36" i="25586"/>
  <c r="E43" i="25586"/>
  <c r="E33" i="25586"/>
  <c r="D30" i="25586"/>
  <c r="E39" i="25586"/>
  <c r="D56" i="25587"/>
  <c r="C10" i="25587"/>
  <c r="D34" i="25586"/>
  <c r="D55" i="25587"/>
  <c r="G41" i="25588"/>
  <c r="G33" i="25588"/>
  <c r="F53" i="25590"/>
  <c r="F37" i="25590"/>
  <c r="F97" i="25590"/>
  <c r="G87" i="3584"/>
  <c r="F87" i="3584"/>
  <c r="E87" i="3584"/>
  <c r="D34" i="25588"/>
  <c r="F53" i="25588"/>
  <c r="F109" i="25590"/>
  <c r="D78" i="25590"/>
  <c r="F29" i="25588"/>
  <c r="G57" i="25588"/>
  <c r="F41" i="25588"/>
  <c r="F106" i="25580"/>
  <c r="E116" i="25580"/>
  <c r="E94" i="25580"/>
  <c r="E115" i="25580"/>
  <c r="C101" i="10285"/>
  <c r="E102" i="768"/>
  <c r="F106" i="768"/>
  <c r="E63" i="3584"/>
  <c r="E99" i="768"/>
  <c r="G69" i="768"/>
  <c r="F69" i="768"/>
  <c r="C77" i="768"/>
  <c r="F77" i="768"/>
  <c r="C85" i="768"/>
  <c r="C93" i="768"/>
  <c r="C101" i="768"/>
  <c r="E101" i="768"/>
  <c r="G101" i="768"/>
  <c r="C109" i="768"/>
  <c r="G117" i="768"/>
  <c r="D117" i="768"/>
  <c r="C117" i="768"/>
  <c r="G125" i="768"/>
  <c r="C63" i="20994"/>
  <c r="G71" i="20994"/>
  <c r="D71" i="20994"/>
  <c r="C71" i="20994"/>
  <c r="G87" i="20994"/>
  <c r="E87" i="20994"/>
  <c r="G103" i="20994"/>
  <c r="D104" i="20994"/>
  <c r="C103" i="20994"/>
  <c r="F115" i="20994"/>
  <c r="C110" i="20994"/>
  <c r="G142" i="20994"/>
  <c r="E129" i="20994"/>
  <c r="E124" i="20994"/>
  <c r="G118" i="20994"/>
  <c r="C126" i="20994"/>
  <c r="G126" i="20994"/>
  <c r="F64" i="1024"/>
  <c r="G64" i="1024"/>
  <c r="G72" i="1024"/>
  <c r="D72" i="1024"/>
  <c r="D80" i="1024"/>
  <c r="C80" i="1024"/>
  <c r="G80" i="1024"/>
  <c r="G88" i="1024"/>
  <c r="F88" i="1024"/>
  <c r="C88" i="1024"/>
  <c r="D96" i="1024"/>
  <c r="C96" i="1024"/>
  <c r="D104" i="1024"/>
  <c r="G112" i="1024"/>
  <c r="F124" i="1024"/>
  <c r="D112" i="1024"/>
  <c r="G120" i="1024"/>
  <c r="F132" i="1024"/>
  <c r="C120" i="1024"/>
  <c r="D128" i="1024"/>
  <c r="K16" i="25582" s="1"/>
  <c r="C128" i="1024"/>
  <c r="G128" i="1024"/>
  <c r="C82" i="32"/>
  <c r="E87" i="32"/>
  <c r="E84" i="32"/>
  <c r="E92" i="32"/>
  <c r="E93" i="32"/>
  <c r="E90" i="32"/>
  <c r="C90" i="32"/>
  <c r="F90" i="32"/>
  <c r="D98" i="32"/>
  <c r="D106" i="32"/>
  <c r="G130" i="32"/>
  <c r="E109" i="32"/>
  <c r="G106" i="32"/>
  <c r="E116" i="32"/>
  <c r="E117" i="32"/>
  <c r="E113" i="32"/>
  <c r="D114" i="32"/>
  <c r="G122" i="32"/>
  <c r="D122" i="32"/>
  <c r="C122" i="32"/>
  <c r="E60" i="2316"/>
  <c r="C60" i="2316"/>
  <c r="G60" i="2316"/>
  <c r="D60" i="2316"/>
  <c r="C68" i="2316"/>
  <c r="F68" i="2316"/>
  <c r="G68" i="2316"/>
  <c r="E68" i="2316"/>
  <c r="C76" i="2316"/>
  <c r="D76" i="2316"/>
  <c r="G76" i="2316"/>
  <c r="C84" i="2316"/>
  <c r="D92" i="2316"/>
  <c r="F92" i="2316"/>
  <c r="G92" i="2316"/>
  <c r="E92" i="2316"/>
  <c r="G100" i="2316"/>
  <c r="C100" i="2316"/>
  <c r="D108" i="2316"/>
  <c r="C108" i="2316"/>
  <c r="G108" i="2316"/>
  <c r="G132" i="2316"/>
  <c r="D124" i="2316"/>
  <c r="G18" i="25582" s="1"/>
  <c r="C124" i="2316"/>
  <c r="G124" i="2316"/>
  <c r="D129" i="768"/>
  <c r="L33" i="25582" s="1"/>
  <c r="F142" i="20994"/>
  <c r="D130" i="20994"/>
  <c r="M34" i="25582" s="1"/>
  <c r="E130" i="20994"/>
  <c r="C131" i="20994"/>
  <c r="G155" i="20994"/>
  <c r="E131" i="20994"/>
  <c r="D131" i="20994"/>
  <c r="F144" i="768"/>
  <c r="C132" i="768"/>
  <c r="D133" i="20994"/>
  <c r="G133" i="20994"/>
  <c r="D11" i="25586"/>
  <c r="D19" i="25586"/>
  <c r="E19" i="25586"/>
  <c r="E27" i="25586"/>
  <c r="D27" i="25586"/>
  <c r="D131" i="9216"/>
  <c r="E133" i="9216"/>
  <c r="E132" i="9216"/>
  <c r="C74" i="9216"/>
  <c r="D66" i="9216"/>
  <c r="E71" i="3584"/>
  <c r="G71" i="3584"/>
  <c r="F132" i="3584"/>
  <c r="D120" i="3584"/>
  <c r="C9" i="25582" s="1"/>
  <c r="C120" i="3584"/>
  <c r="G72" i="20994"/>
  <c r="E72" i="20994"/>
  <c r="C72" i="20994"/>
  <c r="D72" i="20994"/>
  <c r="D90" i="1024"/>
  <c r="F101" i="1024"/>
  <c r="E89" i="1024"/>
  <c r="D89" i="1024"/>
  <c r="G59" i="32"/>
  <c r="F59" i="32"/>
  <c r="F71" i="32"/>
  <c r="E59" i="32"/>
  <c r="D91" i="32"/>
  <c r="D92" i="32"/>
  <c r="F91" i="32"/>
  <c r="C61" i="2316"/>
  <c r="E61" i="2316"/>
  <c r="D61" i="2316"/>
  <c r="F61" i="2316"/>
  <c r="D62" i="2316"/>
  <c r="F73" i="2316"/>
  <c r="F101" i="2316"/>
  <c r="F143" i="1024"/>
  <c r="G131" i="1024"/>
  <c r="C131" i="1024"/>
  <c r="F131" i="1024"/>
  <c r="G121" i="9216"/>
  <c r="D121" i="9216"/>
  <c r="F121" i="9216"/>
  <c r="C81" i="9216"/>
  <c r="D81" i="9216"/>
  <c r="G81" i="9216"/>
  <c r="G136" i="768"/>
  <c r="F136" i="768"/>
  <c r="C136" i="768"/>
  <c r="G138" i="32"/>
  <c r="C138" i="32"/>
  <c r="F150" i="32"/>
  <c r="F155" i="3584"/>
  <c r="C143" i="3584"/>
  <c r="F37" i="25588"/>
  <c r="F89" i="25588"/>
  <c r="D90" i="25588"/>
  <c r="F45" i="25587"/>
  <c r="G61" i="25590"/>
  <c r="D61" i="25590"/>
  <c r="F61" i="25590"/>
  <c r="G77" i="25590"/>
  <c r="E156" i="3584"/>
  <c r="G128" i="3584"/>
  <c r="C154" i="3584"/>
  <c r="C128" i="3584"/>
  <c r="D119" i="3584"/>
  <c r="B29" i="25582" s="1"/>
  <c r="D106" i="25580"/>
  <c r="C106" i="25580"/>
  <c r="F72" i="20994"/>
  <c r="F93" i="1024"/>
  <c r="E138" i="32"/>
  <c r="D101" i="2316"/>
  <c r="D11" i="25587"/>
  <c r="F154" i="3584"/>
  <c r="F64" i="3584"/>
  <c r="D65" i="3584"/>
  <c r="E72" i="3584"/>
  <c r="D72" i="3584"/>
  <c r="D88" i="3584"/>
  <c r="F59" i="25580"/>
  <c r="D75" i="25580"/>
  <c r="G75" i="25580"/>
  <c r="F83" i="25580"/>
  <c r="D84" i="25580"/>
  <c r="C91" i="25580"/>
  <c r="C99" i="25580"/>
  <c r="D100" i="25580"/>
  <c r="C107" i="25580"/>
  <c r="D124" i="25580"/>
  <c r="F135" i="25580"/>
  <c r="C63" i="768"/>
  <c r="G63" i="768"/>
  <c r="E63" i="768"/>
  <c r="F134" i="25580"/>
  <c r="G146" i="25580"/>
  <c r="F122" i="25580"/>
  <c r="G70" i="768"/>
  <c r="F70" i="768"/>
  <c r="E72" i="768"/>
  <c r="C70" i="768"/>
  <c r="F65" i="1024"/>
  <c r="D65" i="1024"/>
  <c r="D66" i="1024"/>
  <c r="G65" i="1024"/>
  <c r="F105" i="1024"/>
  <c r="C105" i="1024"/>
  <c r="D105" i="1024"/>
  <c r="G105" i="1024"/>
  <c r="C75" i="32"/>
  <c r="G75" i="32"/>
  <c r="D76" i="32"/>
  <c r="F75" i="32"/>
  <c r="D115" i="32"/>
  <c r="C115" i="32"/>
  <c r="D116" i="32"/>
  <c r="G115" i="32"/>
  <c r="C85" i="2316"/>
  <c r="D85" i="2316"/>
  <c r="G85" i="2316"/>
  <c r="F85" i="2316"/>
  <c r="E129" i="9216"/>
  <c r="G129" i="9216"/>
  <c r="D129" i="9216"/>
  <c r="G153" i="9216"/>
  <c r="E89" i="9216"/>
  <c r="F101" i="9216"/>
  <c r="C89" i="9216"/>
  <c r="G89" i="9216"/>
  <c r="C140" i="25580"/>
  <c r="C144" i="9216"/>
  <c r="F144" i="9216"/>
  <c r="F151" i="9216"/>
  <c r="C151" i="9216"/>
  <c r="G85" i="25590"/>
  <c r="D10" i="25588"/>
  <c r="G81" i="25588"/>
  <c r="C152" i="2316"/>
  <c r="D153" i="2316"/>
  <c r="F45" i="25588"/>
  <c r="E57" i="25586"/>
  <c r="F77" i="25590"/>
  <c r="D77" i="25590"/>
  <c r="F69" i="25588"/>
  <c r="G143" i="3584"/>
  <c r="E110" i="25580"/>
  <c r="D123" i="25580"/>
  <c r="E118" i="25580"/>
  <c r="E86" i="768"/>
  <c r="D81" i="1024"/>
  <c r="G117" i="2316"/>
  <c r="C122" i="25580"/>
  <c r="G89" i="1024"/>
  <c r="E154" i="3584"/>
  <c r="C117" i="2316"/>
  <c r="F97" i="9216"/>
  <c r="D66" i="25580"/>
  <c r="F66" i="25580"/>
  <c r="C66" i="25580"/>
  <c r="G114" i="25580"/>
  <c r="F114" i="25580"/>
  <c r="G138" i="25580"/>
  <c r="F126" i="25580"/>
  <c r="E78" i="768"/>
  <c r="D79" i="768"/>
  <c r="G78" i="768"/>
  <c r="D64" i="20994"/>
  <c r="D65" i="20994"/>
  <c r="G73" i="1024"/>
  <c r="D74" i="1024"/>
  <c r="C73" i="1024"/>
  <c r="F113" i="1024"/>
  <c r="G137" i="1024"/>
  <c r="G113" i="1024"/>
  <c r="F125" i="1024"/>
  <c r="C113" i="1024"/>
  <c r="D83" i="32"/>
  <c r="C83" i="32"/>
  <c r="G83" i="32"/>
  <c r="F83" i="32"/>
  <c r="E83" i="32"/>
  <c r="D123" i="32"/>
  <c r="F17" i="25582" s="1"/>
  <c r="G123" i="32"/>
  <c r="D124" i="32"/>
  <c r="D77" i="2316"/>
  <c r="C77" i="2316"/>
  <c r="F89" i="2316"/>
  <c r="G77" i="2316"/>
  <c r="F121" i="2316"/>
  <c r="G109" i="2316"/>
  <c r="C109" i="2316"/>
  <c r="F129" i="1024"/>
  <c r="G153" i="1024"/>
  <c r="C132" i="20994"/>
  <c r="D132" i="20994"/>
  <c r="F132" i="20994"/>
  <c r="E132" i="20994"/>
  <c r="C134" i="20994"/>
  <c r="E34" i="25586"/>
  <c r="F46" i="25586"/>
  <c r="F141" i="1024"/>
  <c r="C141" i="1024"/>
  <c r="F153" i="1024"/>
  <c r="D141" i="1024"/>
  <c r="G141" i="1024"/>
  <c r="C143" i="2316"/>
  <c r="F155" i="2316"/>
  <c r="E143" i="2316"/>
  <c r="C147" i="20994"/>
  <c r="E147" i="20994"/>
  <c r="F159" i="20994"/>
  <c r="F33" i="25588"/>
  <c r="F73" i="25590"/>
  <c r="D26" i="25588"/>
  <c r="D62" i="25590"/>
  <c r="F101" i="25590"/>
  <c r="G101" i="25590"/>
  <c r="F69" i="25590"/>
  <c r="D18" i="25588"/>
  <c r="D42" i="25588"/>
  <c r="E93" i="25580"/>
  <c r="E140" i="25580"/>
  <c r="E108" i="25580"/>
  <c r="F94" i="25580"/>
  <c r="F118" i="25580"/>
  <c r="E79" i="768"/>
  <c r="D70" i="768"/>
  <c r="C86" i="768"/>
  <c r="G132" i="20994"/>
  <c r="E101" i="25590"/>
  <c r="D147" i="20994"/>
  <c r="C89" i="1024"/>
  <c r="F135" i="32"/>
  <c r="E115" i="32"/>
  <c r="F113" i="2316"/>
  <c r="D114" i="25580"/>
  <c r="F82" i="768"/>
  <c r="E77" i="2316"/>
  <c r="G101" i="2316"/>
  <c r="G135" i="3584"/>
  <c r="G111" i="3584"/>
  <c r="F123" i="3584"/>
  <c r="C94" i="768"/>
  <c r="E106" i="768"/>
  <c r="D95" i="768"/>
  <c r="D94" i="768"/>
  <c r="E100" i="768"/>
  <c r="C67" i="32"/>
  <c r="D68" i="32"/>
  <c r="G67" i="32"/>
  <c r="F79" i="32"/>
  <c r="F67" i="32"/>
  <c r="E67" i="32"/>
  <c r="G93" i="2316"/>
  <c r="F105" i="2316"/>
  <c r="D93" i="2316"/>
  <c r="C93" i="2316"/>
  <c r="G105" i="9216"/>
  <c r="C105" i="9216"/>
  <c r="D105" i="9216"/>
  <c r="F139" i="20994"/>
  <c r="C139" i="20994"/>
  <c r="E139" i="20994"/>
  <c r="D110" i="25590"/>
  <c r="E89" i="25588"/>
  <c r="F93" i="25590"/>
  <c r="G34" i="25586"/>
  <c r="E53" i="25590"/>
  <c r="E111" i="3584"/>
  <c r="G152" i="3584"/>
  <c r="C119" i="3584"/>
  <c r="E117" i="25580"/>
  <c r="E106" i="25580"/>
  <c r="E96" i="768"/>
  <c r="D102" i="768"/>
  <c r="G139" i="20994"/>
  <c r="F117" i="1024"/>
  <c r="F87" i="32"/>
  <c r="D115" i="25580"/>
  <c r="G64" i="20994"/>
  <c r="D148" i="20994"/>
  <c r="F117" i="9216"/>
  <c r="C123" i="32"/>
  <c r="E70" i="768"/>
  <c r="C65" i="1024"/>
  <c r="C101" i="2316"/>
  <c r="G94" i="768"/>
  <c r="F25" i="25588"/>
  <c r="C111" i="3584"/>
  <c r="G109" i="768"/>
  <c r="C87" i="3584"/>
  <c r="F63" i="3584"/>
  <c r="C63" i="3584"/>
  <c r="F75" i="3584"/>
  <c r="D111" i="768"/>
  <c r="E110" i="768"/>
  <c r="G121" i="1024"/>
  <c r="G145" i="1024"/>
  <c r="D121" i="1024"/>
  <c r="F121" i="1024"/>
  <c r="G99" i="32"/>
  <c r="D100" i="32"/>
  <c r="C99" i="32"/>
  <c r="D69" i="2316"/>
  <c r="F69" i="2316"/>
  <c r="G69" i="2316"/>
  <c r="D70" i="2316"/>
  <c r="E69" i="2316"/>
  <c r="F81" i="2316"/>
  <c r="F113" i="9216"/>
  <c r="C113" i="9216"/>
  <c r="D113" i="9216"/>
  <c r="G65" i="9216"/>
  <c r="D65" i="9216"/>
  <c r="F65" i="9216"/>
  <c r="E10" i="25587"/>
  <c r="C135" i="1024"/>
  <c r="D135" i="1024"/>
  <c r="G135" i="1024"/>
  <c r="F52" i="25586"/>
  <c r="E40" i="25586"/>
  <c r="D40" i="25586"/>
  <c r="F49" i="25590"/>
  <c r="F105" i="25588"/>
  <c r="D153" i="20994"/>
  <c r="F153" i="20994"/>
  <c r="C153" i="20994"/>
  <c r="E157" i="2316"/>
  <c r="D154" i="2316"/>
  <c r="E155" i="2316"/>
  <c r="G154" i="2316"/>
  <c r="C154" i="2316"/>
  <c r="E55" i="25587"/>
  <c r="E158" i="32"/>
  <c r="D158" i="32"/>
  <c r="D109" i="25590"/>
  <c r="C18" i="25587"/>
  <c r="D70" i="25590"/>
  <c r="F21" i="25588"/>
  <c r="D104" i="3584"/>
  <c r="F131" i="3584"/>
  <c r="E109" i="25580"/>
  <c r="D82" i="1024"/>
  <c r="E64" i="20994"/>
  <c r="G61" i="2316"/>
  <c r="E75" i="768"/>
  <c r="C65" i="9216"/>
  <c r="G66" i="25580"/>
  <c r="F93" i="9216"/>
  <c r="C59" i="32"/>
  <c r="C95" i="3584"/>
  <c r="E95" i="3584"/>
  <c r="D86" i="768"/>
  <c r="C118" i="768"/>
  <c r="E118" i="768"/>
  <c r="E97" i="1024"/>
  <c r="D98" i="1024"/>
  <c r="F109" i="1024"/>
  <c r="D97" i="1024"/>
  <c r="F97" i="1024"/>
  <c r="D108" i="32"/>
  <c r="D107" i="32"/>
  <c r="C107" i="32"/>
  <c r="G141" i="2316"/>
  <c r="F117" i="2316"/>
  <c r="F109" i="9216"/>
  <c r="C97" i="9216"/>
  <c r="C26" i="25587"/>
  <c r="C142" i="768"/>
  <c r="E149" i="768"/>
  <c r="E144" i="768"/>
  <c r="E150" i="768"/>
  <c r="C45" i="25587"/>
  <c r="G149" i="9216"/>
  <c r="C149" i="9216"/>
  <c r="G53" i="25590"/>
  <c r="F65" i="25590"/>
  <c r="E41" i="25588"/>
  <c r="D98" i="25588"/>
  <c r="D97" i="25588"/>
  <c r="C157" i="20994"/>
  <c r="G109" i="25590"/>
  <c r="E97" i="25588"/>
  <c r="D35" i="25586"/>
  <c r="E45" i="25587"/>
  <c r="E77" i="25590"/>
  <c r="D93" i="25590"/>
  <c r="F93" i="25588"/>
  <c r="G105" i="25588"/>
  <c r="F49" i="25588"/>
  <c r="E158" i="3584"/>
  <c r="D122" i="25580"/>
  <c r="E30" i="25582" s="1"/>
  <c r="E114" i="25580"/>
  <c r="E107" i="25580"/>
  <c r="F147" i="20994"/>
  <c r="C64" i="20994"/>
  <c r="D157" i="20994"/>
  <c r="F73" i="1024"/>
  <c r="D129" i="1024"/>
  <c r="L36" i="25582" s="1"/>
  <c r="F135" i="1024"/>
  <c r="E91" i="32"/>
  <c r="D155" i="2316"/>
  <c r="F61" i="25588"/>
  <c r="G49" i="25588"/>
  <c r="E65" i="9216"/>
  <c r="G107" i="32"/>
  <c r="F77" i="2316"/>
  <c r="D106" i="25588"/>
  <c r="G63" i="3584"/>
  <c r="E117" i="768"/>
  <c r="E66" i="25580"/>
  <c r="G93" i="768"/>
  <c r="D59" i="32"/>
  <c r="C110" i="768"/>
  <c r="G140" i="2316"/>
  <c r="C148" i="3584"/>
  <c r="C42" i="25587"/>
  <c r="E149" i="20994"/>
  <c r="F151" i="768"/>
  <c r="F150" i="1024"/>
  <c r="D140" i="2316"/>
  <c r="D144" i="20994"/>
  <c r="C156" i="32"/>
  <c r="D139" i="1024"/>
  <c r="F148" i="3584"/>
  <c r="C149" i="20994"/>
  <c r="C152" i="32"/>
  <c r="D157" i="3584"/>
  <c r="F144" i="20994"/>
  <c r="G156" i="32"/>
  <c r="E55" i="25586"/>
  <c r="F157" i="25580"/>
  <c r="C157" i="768"/>
  <c r="F119" i="3584"/>
  <c r="D60" i="1024"/>
  <c r="D102" i="32"/>
  <c r="F110" i="32"/>
  <c r="F143" i="3584"/>
  <c r="D21" i="25587"/>
  <c r="D146" i="25580"/>
  <c r="F156" i="32"/>
  <c r="E28" i="25587"/>
  <c r="G157" i="32"/>
  <c r="C138" i="1024"/>
  <c r="G157" i="768"/>
  <c r="D152" i="32"/>
  <c r="C157" i="32"/>
  <c r="D145" i="25580"/>
  <c r="C155" i="1024"/>
  <c r="E155" i="1024"/>
  <c r="F156" i="25580"/>
  <c r="D157" i="25580"/>
  <c r="C158" i="768"/>
  <c r="E158" i="768"/>
  <c r="D158" i="768"/>
  <c r="F158" i="768"/>
  <c r="D158" i="2316"/>
  <c r="E158" i="2316"/>
  <c r="C158" i="2316"/>
  <c r="F158" i="2316"/>
  <c r="G158" i="2316"/>
  <c r="D160" i="20994"/>
  <c r="G159" i="20994"/>
  <c r="D159" i="20994"/>
  <c r="D160" i="2316"/>
  <c r="F159" i="2316"/>
  <c r="E159" i="2316"/>
  <c r="D159" i="2316"/>
  <c r="F66" i="768"/>
  <c r="G66" i="768"/>
  <c r="E66" i="768"/>
  <c r="C66" i="768"/>
  <c r="F78" i="768"/>
  <c r="C73" i="768"/>
  <c r="E81" i="768"/>
  <c r="C81" i="768"/>
  <c r="F93" i="768"/>
  <c r="F89" i="768"/>
  <c r="G89" i="768"/>
  <c r="C89" i="768"/>
  <c r="E97" i="768"/>
  <c r="F97" i="768"/>
  <c r="F117" i="768"/>
  <c r="F105" i="768"/>
  <c r="D114" i="768"/>
  <c r="C113" i="768"/>
  <c r="C121" i="768"/>
  <c r="D60" i="20994"/>
  <c r="G59" i="20994"/>
  <c r="E59" i="20994"/>
  <c r="D59" i="20994"/>
  <c r="F71" i="20994"/>
  <c r="C67" i="20994"/>
  <c r="D68" i="20994"/>
  <c r="D67" i="20994"/>
  <c r="E67" i="20994"/>
  <c r="F79" i="20994"/>
  <c r="F75" i="20994"/>
  <c r="D75" i="20994"/>
  <c r="F87" i="20994"/>
  <c r="E75" i="20994"/>
  <c r="E114" i="20994"/>
  <c r="E111" i="20994"/>
  <c r="E117" i="20994"/>
  <c r="E112" i="20994"/>
  <c r="F126" i="20994"/>
  <c r="C114" i="20994"/>
  <c r="F114" i="20994"/>
  <c r="F122" i="20994"/>
  <c r="G146" i="20994"/>
  <c r="C122" i="20994"/>
  <c r="D123" i="20994"/>
  <c r="F34" i="25582" s="1"/>
  <c r="E122" i="20994"/>
  <c r="F60" i="1024"/>
  <c r="G60" i="1024"/>
  <c r="E60" i="1024"/>
  <c r="D61" i="1024"/>
  <c r="F72" i="1024"/>
  <c r="E68" i="1024"/>
  <c r="D68" i="1024"/>
  <c r="F80" i="1024"/>
  <c r="G68" i="1024"/>
  <c r="C68" i="1024"/>
  <c r="F76" i="1024"/>
  <c r="D76" i="1024"/>
  <c r="G76" i="1024"/>
  <c r="C76" i="1024"/>
  <c r="C84" i="1024"/>
  <c r="F92" i="1024"/>
  <c r="C100" i="1024"/>
  <c r="G100" i="1024"/>
  <c r="F112" i="1024"/>
  <c r="F100" i="1024"/>
  <c r="D101" i="1024"/>
  <c r="D109" i="1024"/>
  <c r="D108" i="1024"/>
  <c r="C108" i="1024"/>
  <c r="C116" i="1024"/>
  <c r="D116" i="1024"/>
  <c r="F128" i="1024"/>
  <c r="F116" i="1024"/>
  <c r="G116" i="1024"/>
  <c r="G140" i="1024"/>
  <c r="E116" i="1024"/>
  <c r="C124" i="1024"/>
  <c r="D124" i="1024"/>
  <c r="G16" i="25582" s="1"/>
  <c r="D125" i="1024"/>
  <c r="H16" i="25582" s="1"/>
  <c r="C62" i="32"/>
  <c r="D63" i="32"/>
  <c r="D62" i="32"/>
  <c r="G62" i="32"/>
  <c r="E62" i="32"/>
  <c r="F82" i="32"/>
  <c r="E77" i="32"/>
  <c r="E76" i="32"/>
  <c r="F70" i="32"/>
  <c r="D71" i="32"/>
  <c r="E82" i="32"/>
  <c r="E71" i="32"/>
  <c r="E73" i="32"/>
  <c r="E75" i="32"/>
  <c r="D70" i="32"/>
  <c r="E70" i="32"/>
  <c r="G70" i="32"/>
  <c r="G78" i="32"/>
  <c r="D78" i="32"/>
  <c r="E78" i="32"/>
  <c r="D79" i="32"/>
  <c r="C86" i="32"/>
  <c r="G86" i="32"/>
  <c r="E86" i="32"/>
  <c r="D87" i="32"/>
  <c r="F106" i="32"/>
  <c r="G94" i="32"/>
  <c r="D94" i="32"/>
  <c r="F94" i="32"/>
  <c r="E98" i="32"/>
  <c r="E101" i="32"/>
  <c r="E105" i="32"/>
  <c r="E100" i="32"/>
  <c r="E97" i="32"/>
  <c r="E106" i="32"/>
  <c r="E99" i="32"/>
  <c r="F114" i="32"/>
  <c r="G102" i="32"/>
  <c r="F102" i="32"/>
  <c r="C102" i="32"/>
  <c r="E110" i="32"/>
  <c r="G134" i="32"/>
  <c r="C110" i="32"/>
  <c r="D110" i="32"/>
  <c r="G110" i="32"/>
  <c r="C118" i="32"/>
  <c r="E128" i="32"/>
  <c r="E118" i="32"/>
  <c r="E123" i="32"/>
  <c r="E121" i="32"/>
  <c r="F130" i="32"/>
  <c r="E125" i="32"/>
  <c r="G118" i="32"/>
  <c r="D118" i="32"/>
  <c r="E130" i="32"/>
  <c r="F126" i="32"/>
  <c r="E126" i="32"/>
  <c r="G126" i="32"/>
  <c r="F138" i="32"/>
  <c r="C126" i="32"/>
  <c r="G88" i="2316"/>
  <c r="E64" i="2316"/>
  <c r="F64" i="2316"/>
  <c r="F84" i="2316"/>
  <c r="F72" i="2316"/>
  <c r="C72" i="2316"/>
  <c r="G72" i="2316"/>
  <c r="E72" i="2316"/>
  <c r="G80" i="2316"/>
  <c r="C80" i="2316"/>
  <c r="E80" i="2316"/>
  <c r="D81" i="2316"/>
  <c r="F80" i="2316"/>
  <c r="D80" i="2316"/>
  <c r="F88" i="2316"/>
  <c r="D89" i="2316"/>
  <c r="F96" i="2316"/>
  <c r="D96" i="2316"/>
  <c r="D97" i="2316"/>
  <c r="F108" i="2316"/>
  <c r="G96" i="2316"/>
  <c r="C104" i="2316"/>
  <c r="G104" i="2316"/>
  <c r="F112" i="2316"/>
  <c r="F124" i="2316"/>
  <c r="C112" i="2316"/>
  <c r="E112" i="2316"/>
  <c r="D121" i="2316"/>
  <c r="F132" i="2316"/>
  <c r="G120" i="2316"/>
  <c r="F120" i="2316"/>
  <c r="C120" i="2316"/>
  <c r="C128" i="2316"/>
  <c r="G152" i="2316"/>
  <c r="D129" i="2316"/>
  <c r="D128" i="2316"/>
  <c r="F140" i="2316"/>
  <c r="D130" i="25580"/>
  <c r="M30" i="25582" s="1"/>
  <c r="C129" i="25580"/>
  <c r="E129" i="25580"/>
  <c r="E131" i="3584"/>
  <c r="C131" i="3584"/>
  <c r="G155" i="3584"/>
  <c r="G131" i="3584"/>
  <c r="C131" i="2316"/>
  <c r="D131" i="2316"/>
  <c r="E131" i="2316"/>
  <c r="F131" i="2316"/>
  <c r="D132" i="2316"/>
  <c r="G155" i="2316"/>
  <c r="G131" i="2316"/>
  <c r="F143" i="2316"/>
  <c r="D133" i="3584"/>
  <c r="F145" i="3584"/>
  <c r="E133" i="3584"/>
  <c r="C133" i="3584"/>
  <c r="D133" i="2316"/>
  <c r="C133" i="2316"/>
  <c r="G157" i="2316"/>
  <c r="F145" i="2316"/>
  <c r="G133" i="2316"/>
  <c r="F133" i="2316"/>
  <c r="E133" i="2316"/>
  <c r="F146" i="2316"/>
  <c r="D134" i="2316"/>
  <c r="E134" i="2316"/>
  <c r="C134" i="2316"/>
  <c r="F27" i="25586"/>
  <c r="D15" i="25586"/>
  <c r="D23" i="25586"/>
  <c r="E23" i="25586"/>
  <c r="E31" i="25586"/>
  <c r="G134" i="9216"/>
  <c r="D134" i="9216"/>
  <c r="C134" i="9216"/>
  <c r="F146" i="9216"/>
  <c r="D126" i="9216"/>
  <c r="I15" i="25582" s="1"/>
  <c r="C126" i="9216"/>
  <c r="G126" i="9216"/>
  <c r="E126" i="9216"/>
  <c r="F138" i="9216"/>
  <c r="E128" i="9216"/>
  <c r="E119" i="9216"/>
  <c r="E118" i="9216"/>
  <c r="E124" i="9216"/>
  <c r="E123" i="9216"/>
  <c r="E125" i="9216"/>
  <c r="C118" i="9216"/>
  <c r="E121" i="9216"/>
  <c r="G118" i="9216"/>
  <c r="D119" i="9216"/>
  <c r="B35" i="25582" s="1"/>
  <c r="D118" i="9216"/>
  <c r="G110" i="9216"/>
  <c r="C110" i="9216"/>
  <c r="D111" i="9216"/>
  <c r="D110" i="9216"/>
  <c r="D103" i="9216"/>
  <c r="E102" i="9216"/>
  <c r="C102" i="9216"/>
  <c r="D102" i="9216"/>
  <c r="G102" i="9216"/>
  <c r="C94" i="9216"/>
  <c r="D95" i="9216"/>
  <c r="E100" i="9216"/>
  <c r="G94" i="9216"/>
  <c r="D94" i="9216"/>
  <c r="E101" i="9216"/>
  <c r="E95" i="9216"/>
  <c r="E97" i="9216"/>
  <c r="E105" i="9216"/>
  <c r="E103" i="9216"/>
  <c r="C86" i="9216"/>
  <c r="D86" i="9216"/>
  <c r="C78" i="9216"/>
  <c r="G78" i="9216"/>
  <c r="D79" i="9216"/>
  <c r="E78" i="9216"/>
  <c r="E81" i="9216"/>
  <c r="C70" i="9216"/>
  <c r="E80" i="9216"/>
  <c r="G70" i="9216"/>
  <c r="E76" i="9216"/>
  <c r="E70" i="9216"/>
  <c r="D71" i="9216"/>
  <c r="F70" i="9216"/>
  <c r="E75" i="9216"/>
  <c r="E62" i="9216"/>
  <c r="D13" i="25587"/>
  <c r="E13" i="25587"/>
  <c r="C21" i="25587"/>
  <c r="E21" i="25587"/>
  <c r="F33" i="25587"/>
  <c r="F21" i="25587"/>
  <c r="E36" i="25587"/>
  <c r="E33" i="25587"/>
  <c r="G159" i="25580"/>
  <c r="D135" i="25580"/>
  <c r="F147" i="25580"/>
  <c r="C135" i="25580"/>
  <c r="G59" i="25586"/>
  <c r="E35" i="25586"/>
  <c r="F35" i="25586"/>
  <c r="D36" i="25586"/>
  <c r="F136" i="1024"/>
  <c r="C137" i="9216"/>
  <c r="G161" i="9216"/>
  <c r="F137" i="9216"/>
  <c r="D39" i="25587"/>
  <c r="F38" i="25587"/>
  <c r="E140" i="20994"/>
  <c r="D141" i="20994"/>
  <c r="G140" i="20994"/>
  <c r="F152" i="20994"/>
  <c r="C140" i="20994"/>
  <c r="E53" i="25586"/>
  <c r="E52" i="25586"/>
  <c r="E46" i="25586"/>
  <c r="E41" i="25586"/>
  <c r="G41" i="25586"/>
  <c r="E44" i="25586"/>
  <c r="F41" i="25586"/>
  <c r="C142" i="1024"/>
  <c r="E146" i="1024"/>
  <c r="E143" i="1024"/>
  <c r="C143" i="768"/>
  <c r="E143" i="768"/>
  <c r="D144" i="3584"/>
  <c r="F156" i="3584"/>
  <c r="C144" i="3584"/>
  <c r="D145" i="3584"/>
  <c r="G144" i="3584"/>
  <c r="E144" i="3584"/>
  <c r="G144" i="2316"/>
  <c r="F144" i="2316"/>
  <c r="C144" i="2316"/>
  <c r="D144" i="2316"/>
  <c r="D145" i="9216"/>
  <c r="G145" i="9216"/>
  <c r="D146" i="9216"/>
  <c r="F145" i="9216"/>
  <c r="F157" i="9216"/>
  <c r="D46" i="25587"/>
  <c r="C46" i="25587"/>
  <c r="C147" i="32"/>
  <c r="D148" i="32"/>
  <c r="G147" i="32"/>
  <c r="F147" i="32"/>
  <c r="D149" i="20994"/>
  <c r="F148" i="20994"/>
  <c r="E148" i="20994"/>
  <c r="C149" i="3584"/>
  <c r="D150" i="3584"/>
  <c r="C149" i="2316"/>
  <c r="F161" i="2316"/>
  <c r="D150" i="2316"/>
  <c r="D151" i="9216"/>
  <c r="D150" i="9216"/>
  <c r="C150" i="9216"/>
  <c r="F151" i="3584"/>
  <c r="D152" i="3584"/>
  <c r="C151" i="3584"/>
  <c r="C151" i="2316"/>
  <c r="F151" i="2316"/>
  <c r="D151" i="2316"/>
  <c r="D152" i="2316"/>
  <c r="C32" i="25590"/>
  <c r="C22" i="25590"/>
  <c r="C16" i="25590"/>
  <c r="G32" i="25590"/>
  <c r="C40" i="25590"/>
  <c r="E48" i="25590"/>
  <c r="D57" i="25590"/>
  <c r="C64" i="25590"/>
  <c r="F84" i="25590"/>
  <c r="F92" i="25590"/>
  <c r="D81" i="25590"/>
  <c r="C88" i="25590"/>
  <c r="F108" i="25590"/>
  <c r="G96" i="25590"/>
  <c r="E104" i="25590"/>
  <c r="D112" i="25590"/>
  <c r="E20" i="25588"/>
  <c r="D44" i="25588"/>
  <c r="D52" i="25588"/>
  <c r="D61" i="25588"/>
  <c r="D68" i="25588"/>
  <c r="D76" i="25588"/>
  <c r="G76" i="25588"/>
  <c r="E84" i="25588"/>
  <c r="G92" i="25588"/>
  <c r="D100" i="25588"/>
  <c r="D108" i="25588"/>
  <c r="E108" i="25588"/>
  <c r="E152" i="768"/>
  <c r="F152" i="768"/>
  <c r="C152" i="768"/>
  <c r="G152" i="768"/>
  <c r="D152" i="768"/>
  <c r="D53" i="25587"/>
  <c r="C52" i="25587"/>
  <c r="D52" i="25587"/>
  <c r="F52" i="25587"/>
  <c r="D154" i="32"/>
  <c r="G153" i="32"/>
  <c r="D153" i="32"/>
  <c r="F153" i="32"/>
  <c r="E159" i="768"/>
  <c r="E161" i="768"/>
  <c r="E156" i="768"/>
  <c r="E157" i="768"/>
  <c r="C154" i="768"/>
  <c r="F154" i="768"/>
  <c r="E154" i="768"/>
  <c r="G54" i="25586"/>
  <c r="D55" i="25586"/>
  <c r="E54" i="25586"/>
  <c r="F101" i="768"/>
  <c r="F109" i="768"/>
  <c r="D115" i="20994"/>
  <c r="F91" i="20994"/>
  <c r="E79" i="32"/>
  <c r="D113" i="2316"/>
  <c r="D85" i="3584"/>
  <c r="C84" i="3584"/>
  <c r="F84" i="3584"/>
  <c r="E84" i="3584"/>
  <c r="E92" i="3584"/>
  <c r="D92" i="3584"/>
  <c r="C92" i="3584"/>
  <c r="C100" i="3584"/>
  <c r="G100" i="3584"/>
  <c r="E100" i="3584"/>
  <c r="G124" i="3584"/>
  <c r="D108" i="3584"/>
  <c r="F108" i="3584"/>
  <c r="C108" i="3584"/>
  <c r="G132" i="3584"/>
  <c r="C116" i="3584"/>
  <c r="G116" i="3584"/>
  <c r="F116" i="3584"/>
  <c r="D116" i="3584"/>
  <c r="F128" i="3584"/>
  <c r="C125" i="3584"/>
  <c r="F137" i="3584"/>
  <c r="C63" i="25580"/>
  <c r="F75" i="25580"/>
  <c r="D63" i="25580"/>
  <c r="E63" i="25580"/>
  <c r="G63" i="25580"/>
  <c r="G79" i="25580"/>
  <c r="C79" i="25580"/>
  <c r="D80" i="25580"/>
  <c r="F99" i="25580"/>
  <c r="D88" i="25580"/>
  <c r="C87" i="25580"/>
  <c r="D87" i="25580"/>
  <c r="G87" i="25580"/>
  <c r="C95" i="25580"/>
  <c r="G95" i="25580"/>
  <c r="F107" i="25580"/>
  <c r="E95" i="25580"/>
  <c r="D96" i="25580"/>
  <c r="F95" i="25580"/>
  <c r="C103" i="25580"/>
  <c r="G103" i="25580"/>
  <c r="F103" i="25580"/>
  <c r="D103" i="25580"/>
  <c r="F115" i="25580"/>
  <c r="E103" i="25580"/>
  <c r="G135" i="25580"/>
  <c r="D111" i="25580"/>
  <c r="G111" i="25580"/>
  <c r="E111" i="25580"/>
  <c r="F123" i="25580"/>
  <c r="C111" i="25580"/>
  <c r="F119" i="25580"/>
  <c r="C119" i="25580"/>
  <c r="G119" i="25580"/>
  <c r="F131" i="25580"/>
  <c r="D119" i="25580"/>
  <c r="B10" i="25582" s="1"/>
  <c r="E127" i="25580"/>
  <c r="G127" i="25580"/>
  <c r="D127" i="25580"/>
  <c r="J30" i="25582" s="1"/>
  <c r="F127" i="25580"/>
  <c r="C127" i="25580"/>
  <c r="C90" i="10285"/>
  <c r="F59" i="768"/>
  <c r="G59" i="768"/>
  <c r="E59" i="768"/>
  <c r="F71" i="768"/>
  <c r="G83" i="768"/>
  <c r="D59" i="768"/>
  <c r="E116" i="20994"/>
  <c r="D86" i="32"/>
  <c r="G112" i="2316"/>
  <c r="E102" i="32"/>
  <c r="C78" i="32"/>
  <c r="F118" i="32"/>
  <c r="E77" i="3584"/>
  <c r="D78" i="3584"/>
  <c r="C77" i="3584"/>
  <c r="G77" i="3584"/>
  <c r="F98" i="32"/>
  <c r="F104" i="2316"/>
  <c r="G93" i="3584"/>
  <c r="D109" i="3584"/>
  <c r="C88" i="25580"/>
  <c r="C112" i="25580"/>
  <c r="C120" i="25580"/>
  <c r="F140" i="25580"/>
  <c r="D60" i="768"/>
  <c r="F67" i="768"/>
  <c r="D75" i="768"/>
  <c r="D90" i="768"/>
  <c r="C98" i="768"/>
  <c r="G147" i="20994"/>
  <c r="E69" i="1024"/>
  <c r="C125" i="1024"/>
  <c r="C71" i="32"/>
  <c r="C95" i="32"/>
  <c r="F103" i="32"/>
  <c r="E65" i="2316"/>
  <c r="D73" i="2316"/>
  <c r="F145" i="25580"/>
  <c r="C46" i="25586"/>
  <c r="C60" i="25586"/>
  <c r="D16" i="25586"/>
  <c r="D24" i="25586"/>
  <c r="F44" i="25586"/>
  <c r="F125" i="9216"/>
  <c r="C93" i="9216"/>
  <c r="F77" i="9216"/>
  <c r="F69" i="9216"/>
  <c r="F26" i="25587"/>
  <c r="D31" i="25587"/>
  <c r="F35" i="25587"/>
  <c r="C136" i="32"/>
  <c r="G60" i="25586"/>
  <c r="F149" i="1024"/>
  <c r="G161" i="1024"/>
  <c r="C142" i="32"/>
  <c r="F160" i="9216"/>
  <c r="F161" i="25580"/>
  <c r="E161" i="20994"/>
  <c r="C155" i="32"/>
  <c r="D59" i="25586"/>
  <c r="C81" i="25580"/>
  <c r="C97" i="25580"/>
  <c r="C84" i="10285"/>
  <c r="C61" i="768"/>
  <c r="C107" i="768"/>
  <c r="E115" i="768"/>
  <c r="D124" i="768"/>
  <c r="G33" i="25582" s="1"/>
  <c r="E72" i="1024"/>
  <c r="F90" i="1024"/>
  <c r="C86" i="1024"/>
  <c r="F94" i="1024"/>
  <c r="G134" i="1024"/>
  <c r="E121" i="1024"/>
  <c r="E126" i="1024"/>
  <c r="E64" i="32"/>
  <c r="G72" i="32"/>
  <c r="G80" i="32"/>
  <c r="F88" i="32"/>
  <c r="C96" i="32"/>
  <c r="F116" i="32"/>
  <c r="F112" i="32"/>
  <c r="C120" i="32"/>
  <c r="G152" i="32"/>
  <c r="E89" i="2316"/>
  <c r="E90" i="2316"/>
  <c r="C98" i="2316"/>
  <c r="E116" i="2316"/>
  <c r="D115" i="2316"/>
  <c r="G158" i="25580"/>
  <c r="C100" i="9216"/>
  <c r="C92" i="9216"/>
  <c r="C76" i="9216"/>
  <c r="G160" i="2316"/>
  <c r="G161" i="32"/>
  <c r="F150" i="20994"/>
  <c r="F151" i="25580"/>
  <c r="C141" i="768"/>
  <c r="C143" i="9216"/>
  <c r="F56" i="25587"/>
  <c r="C147" i="25580"/>
  <c r="D47" i="25586"/>
  <c r="C150" i="32"/>
  <c r="G50" i="25590"/>
  <c r="E75" i="25588"/>
  <c r="D110" i="25588"/>
  <c r="C152" i="9216"/>
  <c r="D154" i="25580"/>
  <c r="C154" i="9216"/>
  <c r="E161" i="9216"/>
  <c r="F59" i="25587"/>
  <c r="C74" i="25580"/>
  <c r="F102" i="25580"/>
  <c r="F110" i="25580"/>
  <c r="C114" i="25580"/>
  <c r="G62" i="768"/>
  <c r="E76" i="768"/>
  <c r="G84" i="768"/>
  <c r="D92" i="768"/>
  <c r="F63" i="1024"/>
  <c r="G71" i="1024"/>
  <c r="F107" i="1024"/>
  <c r="C103" i="1024"/>
  <c r="D82" i="32"/>
  <c r="F59" i="2316"/>
  <c r="G75" i="2316"/>
  <c r="F103" i="2316"/>
  <c r="C129" i="20994"/>
  <c r="D131" i="768"/>
  <c r="D132" i="768"/>
  <c r="C107" i="9216"/>
  <c r="C99" i="9216"/>
  <c r="C83" i="9216"/>
  <c r="C59" i="9216"/>
  <c r="C60" i="25587"/>
  <c r="C135" i="20994"/>
  <c r="G160" i="25580"/>
  <c r="G161" i="2316"/>
  <c r="F54" i="25586"/>
  <c r="F161" i="768"/>
  <c r="D151" i="3584"/>
  <c r="F59" i="25590"/>
  <c r="F91" i="25590"/>
  <c r="E59" i="25586"/>
  <c r="E60" i="25586"/>
  <c r="E161" i="1024"/>
  <c r="C157" i="25580"/>
  <c r="G160" i="20994"/>
  <c r="C81" i="3584"/>
  <c r="E88" i="3584"/>
  <c r="F67" i="25580"/>
  <c r="F87" i="25580"/>
  <c r="C123" i="25580"/>
  <c r="D125" i="768"/>
  <c r="G79" i="20994"/>
  <c r="E123" i="20994"/>
  <c r="G96" i="1024"/>
  <c r="F108" i="1024"/>
  <c r="C112" i="1024"/>
  <c r="G90" i="32"/>
  <c r="G74" i="32"/>
  <c r="G82" i="32"/>
  <c r="D90" i="32"/>
  <c r="C92" i="2316"/>
  <c r="F128" i="2316"/>
  <c r="G158" i="768"/>
  <c r="E139" i="9216"/>
  <c r="D114" i="9216"/>
  <c r="E116" i="9216"/>
  <c r="F110" i="9216"/>
  <c r="F90" i="9216"/>
  <c r="C66" i="9216"/>
  <c r="G161" i="25580"/>
  <c r="E37" i="25586"/>
  <c r="F140" i="3584"/>
  <c r="F152" i="2316"/>
  <c r="F153" i="9216"/>
  <c r="D144" i="32"/>
  <c r="C145" i="25580"/>
  <c r="C147" i="768"/>
  <c r="F161" i="20994"/>
  <c r="C150" i="25580"/>
  <c r="C151" i="20994"/>
  <c r="C153" i="768"/>
  <c r="E57" i="25587"/>
  <c r="E60" i="25587"/>
  <c r="E161" i="32"/>
  <c r="C156" i="1024"/>
  <c r="E60" i="25580"/>
  <c r="D69" i="25580"/>
  <c r="E77" i="768"/>
  <c r="C102" i="768"/>
  <c r="D110" i="768"/>
  <c r="E128" i="768"/>
  <c r="F138" i="768"/>
  <c r="C80" i="20994"/>
  <c r="E88" i="20994"/>
  <c r="C96" i="20994"/>
  <c r="C111" i="20994"/>
  <c r="F119" i="20994"/>
  <c r="F127" i="20994"/>
  <c r="E65" i="1024"/>
  <c r="C81" i="1024"/>
  <c r="G129" i="1024"/>
  <c r="D126" i="2316"/>
  <c r="I18" i="25582" s="1"/>
  <c r="D134" i="1024"/>
  <c r="C129" i="9216"/>
  <c r="C121" i="9216"/>
  <c r="G113" i="9216"/>
  <c r="D37" i="25587"/>
  <c r="D140" i="20994"/>
  <c r="F156" i="9216"/>
  <c r="D147" i="32"/>
  <c r="E148" i="25580"/>
  <c r="F161" i="9216"/>
  <c r="E160" i="2316"/>
  <c r="E161" i="2316"/>
  <c r="G93" i="25580"/>
  <c r="F129" i="25580"/>
  <c r="C65" i="768"/>
  <c r="D103" i="768"/>
  <c r="F73" i="20994"/>
  <c r="C106" i="1024"/>
  <c r="G138" i="1024"/>
  <c r="F60" i="32"/>
  <c r="E68" i="32"/>
  <c r="G76" i="32"/>
  <c r="F70" i="2316"/>
  <c r="G78" i="2316"/>
  <c r="E95" i="2316"/>
  <c r="G126" i="2316"/>
  <c r="C118" i="2316"/>
  <c r="D132" i="32"/>
  <c r="C132" i="1024"/>
  <c r="F144" i="32"/>
  <c r="F140" i="9216"/>
  <c r="C72" i="9216"/>
  <c r="G64" i="9216"/>
  <c r="F31" i="25587"/>
  <c r="F149" i="768"/>
  <c r="G161" i="768"/>
  <c r="C144" i="1024"/>
  <c r="C145" i="768"/>
  <c r="F60" i="25586"/>
  <c r="F161" i="1024"/>
  <c r="D51" i="25586"/>
  <c r="D59" i="25588"/>
  <c r="D67" i="25588"/>
  <c r="C153" i="9216"/>
  <c r="E161" i="25580"/>
  <c r="F70" i="25580"/>
  <c r="D86" i="25580"/>
  <c r="G134" i="25580"/>
  <c r="C113" i="10285"/>
  <c r="C88" i="768"/>
  <c r="C66" i="20994"/>
  <c r="G82" i="20994"/>
  <c r="F117" i="20994"/>
  <c r="G59" i="1024"/>
  <c r="G75" i="1024"/>
  <c r="G139" i="1024"/>
  <c r="G61" i="32"/>
  <c r="C77" i="32"/>
  <c r="G95" i="2316"/>
  <c r="C95" i="2316"/>
  <c r="G143" i="2316"/>
  <c r="E139" i="2316"/>
  <c r="F34" i="25586"/>
  <c r="F127" i="9216"/>
  <c r="E79" i="9216"/>
  <c r="C135" i="2316"/>
  <c r="G161" i="20994"/>
  <c r="E148" i="9216"/>
  <c r="C148" i="768"/>
  <c r="F60" i="25587"/>
  <c r="F161" i="32"/>
  <c r="G79" i="25590"/>
  <c r="C158" i="20994"/>
  <c r="G74" i="2316"/>
  <c r="D83" i="2316"/>
  <c r="F126" i="2316"/>
  <c r="E86" i="2316"/>
  <c r="F122" i="2316"/>
  <c r="F156" i="2316"/>
  <c r="G106" i="2316"/>
  <c r="G136" i="2316"/>
  <c r="D59" i="2316"/>
  <c r="E85" i="2316"/>
  <c r="F74" i="2316"/>
  <c r="F134" i="2316"/>
  <c r="E107" i="2316"/>
  <c r="E74" i="2316"/>
  <c r="G83" i="2316"/>
  <c r="E106" i="2316"/>
  <c r="C90" i="2316"/>
  <c r="E67" i="2316"/>
  <c r="F114" i="2316"/>
  <c r="C74" i="2316"/>
  <c r="G67" i="2316"/>
  <c r="F82" i="2316"/>
  <c r="G130" i="2316"/>
  <c r="E117" i="2316"/>
  <c r="C106" i="2316"/>
  <c r="C59" i="2316"/>
  <c r="E93" i="2316"/>
  <c r="G98" i="2316"/>
  <c r="D99" i="2316"/>
  <c r="D74" i="2316"/>
  <c r="G146" i="2316"/>
  <c r="D91" i="2316"/>
  <c r="E114" i="2316"/>
  <c r="F79" i="2316"/>
  <c r="G59" i="2316"/>
  <c r="E109" i="2316"/>
  <c r="C136" i="2316"/>
  <c r="C82" i="2316"/>
  <c r="E82" i="2316"/>
  <c r="D114" i="2316"/>
  <c r="D107" i="2316"/>
  <c r="E88" i="2316"/>
  <c r="D90" i="2316"/>
  <c r="D106" i="2316"/>
  <c r="E98" i="2316"/>
  <c r="D68" i="2316"/>
  <c r="D146" i="2316"/>
  <c r="G82" i="2316"/>
  <c r="G91" i="2316"/>
  <c r="F136" i="2316"/>
  <c r="G122" i="2316"/>
  <c r="D67" i="2316"/>
  <c r="G114" i="2316"/>
  <c r="C67" i="2316"/>
  <c r="E91" i="2316"/>
  <c r="C114" i="2316"/>
  <c r="E76" i="2316"/>
  <c r="E108" i="2316"/>
  <c r="F148" i="2316"/>
  <c r="F160" i="2316"/>
  <c r="D136" i="2316"/>
  <c r="D123" i="2316"/>
  <c r="D137" i="2316"/>
  <c r="G90" i="2316"/>
  <c r="D142" i="2316"/>
  <c r="D82" i="2316"/>
  <c r="D122" i="2316"/>
  <c r="E84" i="2316"/>
  <c r="E59" i="2316"/>
  <c r="E149" i="2316"/>
  <c r="F67" i="2316"/>
  <c r="E149" i="32"/>
  <c r="F80" i="32"/>
  <c r="F76" i="32"/>
  <c r="D72" i="32"/>
  <c r="G136" i="32"/>
  <c r="F104" i="32"/>
  <c r="E153" i="32"/>
  <c r="G142" i="32"/>
  <c r="C64" i="32"/>
  <c r="D112" i="32"/>
  <c r="D120" i="32"/>
  <c r="C17" i="25582" s="1"/>
  <c r="D128" i="32"/>
  <c r="K37" i="25582" s="1"/>
  <c r="E136" i="32"/>
  <c r="E143" i="32"/>
  <c r="F136" i="32"/>
  <c r="F148" i="32"/>
  <c r="F155" i="32"/>
  <c r="E152" i="32"/>
  <c r="F64" i="32"/>
  <c r="F72" i="32"/>
  <c r="D97" i="32"/>
  <c r="D143" i="32"/>
  <c r="G144" i="32"/>
  <c r="C104" i="32"/>
  <c r="C128" i="32"/>
  <c r="F120" i="32"/>
  <c r="E120" i="32"/>
  <c r="E112" i="32"/>
  <c r="E150" i="32"/>
  <c r="D136" i="32"/>
  <c r="E96" i="32"/>
  <c r="F132" i="32"/>
  <c r="E142" i="32"/>
  <c r="E148" i="32"/>
  <c r="G128" i="32"/>
  <c r="F124" i="32"/>
  <c r="G120" i="32"/>
  <c r="D65" i="32"/>
  <c r="C112" i="32"/>
  <c r="D113" i="32"/>
  <c r="E80" i="32"/>
  <c r="G96" i="32"/>
  <c r="G64" i="32"/>
  <c r="D73" i="32"/>
  <c r="E124" i="32"/>
  <c r="F96" i="32"/>
  <c r="E72" i="32"/>
  <c r="G104" i="32"/>
  <c r="D80" i="32"/>
  <c r="C72" i="32"/>
  <c r="D105" i="32"/>
  <c r="E145" i="32"/>
  <c r="F84" i="32"/>
  <c r="C80" i="32"/>
  <c r="E125" i="1024"/>
  <c r="E94" i="1024"/>
  <c r="E110" i="1024"/>
  <c r="D127" i="1024"/>
  <c r="E86" i="1024"/>
  <c r="E118" i="1024"/>
  <c r="E102" i="1024"/>
  <c r="E150" i="1024"/>
  <c r="C126" i="1024"/>
  <c r="E63" i="1024"/>
  <c r="D86" i="1024"/>
  <c r="C110" i="1024"/>
  <c r="G86" i="1024"/>
  <c r="F77" i="1024"/>
  <c r="D118" i="1024"/>
  <c r="F155" i="1024"/>
  <c r="D155" i="1024"/>
  <c r="E98" i="1024"/>
  <c r="D119" i="1024"/>
  <c r="B36" i="25582" s="1"/>
  <c r="D142" i="1024"/>
  <c r="D79" i="1024"/>
  <c r="G102" i="1024"/>
  <c r="E124" i="1024"/>
  <c r="F122" i="1024"/>
  <c r="D94" i="1024"/>
  <c r="D110" i="1024"/>
  <c r="G87" i="1024"/>
  <c r="C70" i="1024"/>
  <c r="E78" i="1024"/>
  <c r="G142" i="1024"/>
  <c r="F154" i="1024"/>
  <c r="G126" i="1024"/>
  <c r="E120" i="1024"/>
  <c r="D156" i="1024"/>
  <c r="F78" i="1024"/>
  <c r="E95" i="1024"/>
  <c r="C94" i="1024"/>
  <c r="D111" i="1024"/>
  <c r="D87" i="1024"/>
  <c r="E149" i="1024"/>
  <c r="E154" i="1024"/>
  <c r="C102" i="1024"/>
  <c r="E145" i="1024"/>
  <c r="D102" i="1024"/>
  <c r="F138" i="1024"/>
  <c r="F98" i="1024"/>
  <c r="G97" i="1024"/>
  <c r="E119" i="1024"/>
  <c r="E104" i="1024"/>
  <c r="E129" i="1024"/>
  <c r="E147" i="1024"/>
  <c r="D143" i="1024"/>
  <c r="D64" i="1024"/>
  <c r="D95" i="1024"/>
  <c r="G122" i="1024"/>
  <c r="G160" i="1024"/>
  <c r="G110" i="1024"/>
  <c r="E103" i="1024"/>
  <c r="F86" i="1024"/>
  <c r="E151" i="1024"/>
  <c r="G150" i="1024"/>
  <c r="E128" i="1024"/>
  <c r="C78" i="1024"/>
  <c r="F68" i="1024"/>
  <c r="D99" i="1024"/>
  <c r="D126" i="1024"/>
  <c r="G118" i="1024"/>
  <c r="D103" i="1024"/>
  <c r="G155" i="1024"/>
  <c r="C63" i="1024"/>
  <c r="E92" i="1024"/>
  <c r="G130" i="1024"/>
  <c r="E74" i="9216"/>
  <c r="G122" i="9216"/>
  <c r="G106" i="9216"/>
  <c r="G98" i="9216"/>
  <c r="D141" i="9216"/>
  <c r="G90" i="9216"/>
  <c r="E86" i="9216"/>
  <c r="G158" i="9216"/>
  <c r="D90" i="9216"/>
  <c r="E66" i="9216"/>
  <c r="F122" i="9216"/>
  <c r="C82" i="9216"/>
  <c r="E83" i="9216"/>
  <c r="F158" i="9216"/>
  <c r="E141" i="9216"/>
  <c r="D158" i="9216"/>
  <c r="F102" i="9216"/>
  <c r="G130" i="9216"/>
  <c r="E112" i="9216"/>
  <c r="E134" i="9216"/>
  <c r="C114" i="9216"/>
  <c r="F82" i="9216"/>
  <c r="E130" i="9216"/>
  <c r="D75" i="9216"/>
  <c r="D82" i="9216"/>
  <c r="G154" i="9216"/>
  <c r="E109" i="9216"/>
  <c r="C122" i="9216"/>
  <c r="G114" i="9216"/>
  <c r="E114" i="9216"/>
  <c r="D115" i="9216"/>
  <c r="F86" i="9216"/>
  <c r="E140" i="9216"/>
  <c r="E110" i="9216"/>
  <c r="D136" i="9216"/>
  <c r="F134" i="9216"/>
  <c r="F118" i="9216"/>
  <c r="F135" i="9216"/>
  <c r="E85" i="9216"/>
  <c r="C158" i="9216"/>
  <c r="E136" i="9216"/>
  <c r="E98" i="9216"/>
  <c r="G146" i="9216"/>
  <c r="D106" i="9216"/>
  <c r="F66" i="9216"/>
  <c r="E82" i="9216"/>
  <c r="D98" i="9216"/>
  <c r="E93" i="9216"/>
  <c r="G82" i="9216"/>
  <c r="E90" i="9216"/>
  <c r="C90" i="9216"/>
  <c r="E138" i="9216"/>
  <c r="C98" i="9216"/>
  <c r="E113" i="9216"/>
  <c r="E106" i="9216"/>
  <c r="E108" i="9216"/>
  <c r="E88" i="9216"/>
  <c r="G74" i="9216"/>
  <c r="F147" i="9216"/>
  <c r="G135" i="9216"/>
  <c r="F106" i="9216"/>
  <c r="F126" i="9216"/>
  <c r="E92" i="9216"/>
  <c r="G141" i="9216"/>
  <c r="C106" i="9216"/>
  <c r="F78" i="9216"/>
  <c r="C135" i="9216"/>
  <c r="E117" i="9216"/>
  <c r="E131" i="9216"/>
  <c r="D123" i="9216"/>
  <c r="D135" i="9216"/>
  <c r="F94" i="9216"/>
  <c r="E158" i="9216"/>
  <c r="E94" i="9216"/>
  <c r="G159" i="9216"/>
  <c r="D83" i="9216"/>
  <c r="G66" i="9216"/>
  <c r="D85" i="9216"/>
  <c r="F103" i="9216"/>
  <c r="F98" i="9216"/>
  <c r="G97" i="9216"/>
  <c r="D130" i="9216"/>
  <c r="M35" i="25582" s="1"/>
  <c r="G100" i="9216"/>
  <c r="G137" i="9216"/>
  <c r="D122" i="9216"/>
  <c r="C119" i="9216"/>
  <c r="E115" i="9216"/>
  <c r="F133" i="9216"/>
  <c r="F129" i="9216"/>
  <c r="G160" i="9216"/>
  <c r="D132" i="9216"/>
  <c r="D87" i="9216"/>
  <c r="F104" i="9216"/>
  <c r="F116" i="9216"/>
  <c r="F92" i="20994"/>
  <c r="C119" i="20994"/>
  <c r="F80" i="20994"/>
  <c r="G97" i="20994"/>
  <c r="D74" i="20994"/>
  <c r="E66" i="20994"/>
  <c r="E80" i="20994"/>
  <c r="E103" i="20994"/>
  <c r="D103" i="20994"/>
  <c r="F160" i="20994"/>
  <c r="F66" i="20994"/>
  <c r="G66" i="20994"/>
  <c r="D120" i="20994"/>
  <c r="F111" i="20994"/>
  <c r="E119" i="20994"/>
  <c r="F85" i="20994"/>
  <c r="G80" i="20994"/>
  <c r="G120" i="20994"/>
  <c r="G135" i="20994"/>
  <c r="D112" i="20994"/>
  <c r="D127" i="20994"/>
  <c r="J14" i="25582" s="1"/>
  <c r="D73" i="20994"/>
  <c r="F131" i="20994"/>
  <c r="G90" i="20994"/>
  <c r="E96" i="20994"/>
  <c r="F67" i="20994"/>
  <c r="G74" i="20994"/>
  <c r="G127" i="20994"/>
  <c r="G73" i="20994"/>
  <c r="F78" i="20994"/>
  <c r="G104" i="20994"/>
  <c r="E113" i="20994"/>
  <c r="E121" i="20994"/>
  <c r="F145" i="20994"/>
  <c r="D66" i="20994"/>
  <c r="E127" i="20994"/>
  <c r="C88" i="20994"/>
  <c r="G143" i="20994"/>
  <c r="G96" i="20994"/>
  <c r="D81" i="20994"/>
  <c r="E73" i="20994"/>
  <c r="E155" i="20994"/>
  <c r="D111" i="20994"/>
  <c r="G111" i="20994"/>
  <c r="F113" i="768"/>
  <c r="D145" i="768"/>
  <c r="G137" i="768"/>
  <c r="G107" i="768"/>
  <c r="D107" i="768"/>
  <c r="D77" i="768"/>
  <c r="C123" i="768"/>
  <c r="G74" i="768"/>
  <c r="E113" i="768"/>
  <c r="E90" i="768"/>
  <c r="D144" i="768"/>
  <c r="E107" i="768"/>
  <c r="F127" i="768"/>
  <c r="E145" i="768"/>
  <c r="D137" i="768"/>
  <c r="E153" i="768"/>
  <c r="D156" i="768"/>
  <c r="C155" i="768"/>
  <c r="G116" i="768"/>
  <c r="E121" i="768"/>
  <c r="F125" i="768"/>
  <c r="D105" i="768"/>
  <c r="D154" i="768"/>
  <c r="G92" i="768"/>
  <c r="D113" i="768"/>
  <c r="G76" i="768"/>
  <c r="F135" i="768"/>
  <c r="F145" i="768"/>
  <c r="E85" i="768"/>
  <c r="F112" i="768"/>
  <c r="D85" i="768"/>
  <c r="D155" i="768"/>
  <c r="D106" i="768"/>
  <c r="C131" i="768"/>
  <c r="D133" i="768"/>
  <c r="D82" i="768"/>
  <c r="C137" i="768"/>
  <c r="G160" i="768"/>
  <c r="F155" i="768"/>
  <c r="E105" i="768"/>
  <c r="G114" i="768"/>
  <c r="G143" i="768"/>
  <c r="G113" i="768"/>
  <c r="F102" i="768"/>
  <c r="D115" i="768"/>
  <c r="G123" i="768"/>
  <c r="F62" i="768"/>
  <c r="D83" i="768"/>
  <c r="G108" i="768"/>
  <c r="D84" i="768"/>
  <c r="E84" i="768"/>
  <c r="F72" i="768"/>
  <c r="C84" i="768"/>
  <c r="G124" i="768"/>
  <c r="C74" i="768"/>
  <c r="E62" i="768"/>
  <c r="E87" i="768"/>
  <c r="C60" i="768"/>
  <c r="C149" i="768"/>
  <c r="G145" i="768"/>
  <c r="D98" i="768"/>
  <c r="D76" i="768"/>
  <c r="G90" i="768"/>
  <c r="F86" i="768"/>
  <c r="C62" i="768"/>
  <c r="G139" i="768"/>
  <c r="F76" i="768"/>
  <c r="G82" i="768"/>
  <c r="D99" i="768"/>
  <c r="F90" i="768"/>
  <c r="D101" i="768"/>
  <c r="F74" i="768"/>
  <c r="E155" i="768"/>
  <c r="D93" i="768"/>
  <c r="G60" i="768"/>
  <c r="F92" i="768"/>
  <c r="D96" i="768"/>
  <c r="F98" i="768"/>
  <c r="F119" i="768"/>
  <c r="G86" i="768"/>
  <c r="G105" i="768"/>
  <c r="E93" i="768"/>
  <c r="F133" i="768"/>
  <c r="E94" i="768"/>
  <c r="F94" i="768"/>
  <c r="D153" i="768"/>
  <c r="D100" i="768"/>
  <c r="D134" i="768"/>
  <c r="F157" i="768"/>
  <c r="C82" i="768"/>
  <c r="F60" i="768"/>
  <c r="G121" i="768"/>
  <c r="C105" i="768"/>
  <c r="E74" i="768"/>
  <c r="E82" i="768"/>
  <c r="E89" i="768"/>
  <c r="F137" i="768"/>
  <c r="D122" i="768"/>
  <c r="E13" i="25582" s="1"/>
  <c r="F121" i="768"/>
  <c r="F129" i="768"/>
  <c r="C89" i="10285"/>
  <c r="C64" i="10285"/>
  <c r="C73" i="10285"/>
  <c r="F141" i="25580"/>
  <c r="C144" i="25580"/>
  <c r="E156" i="25580"/>
  <c r="E71" i="25580"/>
  <c r="E131" i="25580"/>
  <c r="C133" i="25580"/>
  <c r="D64" i="25580"/>
  <c r="G132" i="25580"/>
  <c r="E143" i="25580"/>
  <c r="F104" i="25580"/>
  <c r="F152" i="25580"/>
  <c r="E89" i="25580"/>
  <c r="D105" i="25580"/>
  <c r="F113" i="25580"/>
  <c r="D121" i="25580"/>
  <c r="D30" i="25582" s="1"/>
  <c r="F82" i="25580"/>
  <c r="D51" i="4888"/>
  <c r="F50" i="4888"/>
  <c r="C14" i="4888"/>
  <c r="D15" i="4888"/>
  <c r="F26" i="4888"/>
  <c r="D50" i="4888"/>
  <c r="D14" i="4888"/>
  <c r="C50" i="4888"/>
  <c r="D21" i="4888"/>
  <c r="E148" i="1024"/>
  <c r="E160" i="20994"/>
  <c r="E160" i="1024"/>
  <c r="D160" i="9216"/>
  <c r="F160" i="1024"/>
  <c r="G148" i="1024"/>
  <c r="E155" i="9216"/>
  <c r="D160" i="25580"/>
  <c r="D160" i="768"/>
  <c r="E160" i="9216"/>
  <c r="C148" i="1024"/>
  <c r="F148" i="1024"/>
  <c r="E157" i="1024"/>
  <c r="E160" i="25580"/>
  <c r="E160" i="768"/>
  <c r="D149" i="1024"/>
  <c r="E155" i="3584"/>
  <c r="F160" i="25580"/>
  <c r="F160" i="768"/>
  <c r="D160" i="1024"/>
  <c r="F82" i="3584"/>
  <c r="G70" i="3584"/>
  <c r="F77" i="3584"/>
  <c r="D70" i="3584"/>
  <c r="C62" i="3584"/>
  <c r="E96" i="3584"/>
  <c r="C104" i="3584"/>
  <c r="D62" i="3584"/>
  <c r="G126" i="3584"/>
  <c r="F134" i="3584"/>
  <c r="E134" i="3584"/>
  <c r="F127" i="3584"/>
  <c r="E128" i="3584"/>
  <c r="F157" i="3584"/>
  <c r="E62" i="3584"/>
  <c r="D89" i="3584"/>
  <c r="E109" i="3584"/>
  <c r="F89" i="3584"/>
  <c r="F100" i="3584"/>
  <c r="E103" i="3584"/>
  <c r="F107" i="3584"/>
  <c r="D63" i="3584"/>
  <c r="C70" i="3584"/>
  <c r="F152" i="3584"/>
  <c r="C126" i="3584"/>
  <c r="D74" i="3584"/>
  <c r="E64" i="3584"/>
  <c r="D105" i="3584"/>
  <c r="G127" i="3584"/>
  <c r="G95" i="3584"/>
  <c r="D95" i="3584"/>
  <c r="C103" i="3584"/>
  <c r="D134" i="3584"/>
  <c r="D127" i="3584"/>
  <c r="F146" i="3584"/>
  <c r="D102" i="3584"/>
  <c r="F76" i="3584"/>
  <c r="C93" i="3584"/>
  <c r="D153" i="3584"/>
  <c r="D154" i="3584"/>
  <c r="G94" i="3584"/>
  <c r="G112" i="3584"/>
  <c r="G150" i="3584"/>
  <c r="G158" i="3584"/>
  <c r="G109" i="3584"/>
  <c r="F109" i="3584"/>
  <c r="D77" i="3584"/>
  <c r="G153" i="3584"/>
  <c r="G68" i="25588"/>
  <c r="C52" i="25588"/>
  <c r="G108" i="25588"/>
  <c r="F64" i="25588"/>
  <c r="D109" i="25588"/>
  <c r="D93" i="25588"/>
  <c r="F109" i="25588"/>
  <c r="D53" i="25588"/>
  <c r="D69" i="25588"/>
  <c r="E14" i="25588"/>
  <c r="E26" i="25588"/>
  <c r="F42" i="25588"/>
  <c r="G38" i="25588"/>
  <c r="E52" i="25588"/>
  <c r="F66" i="25588"/>
  <c r="G62" i="25588"/>
  <c r="E78" i="25588"/>
  <c r="F98" i="25588"/>
  <c r="G94" i="25588"/>
  <c r="E102" i="25588"/>
  <c r="G84" i="25588"/>
  <c r="D20" i="25588"/>
  <c r="F104" i="25588"/>
  <c r="G100" i="25588"/>
  <c r="D85" i="25588"/>
  <c r="C63" i="25588"/>
  <c r="E16" i="25588"/>
  <c r="D25" i="25588"/>
  <c r="D41" i="25588"/>
  <c r="D48" i="25588"/>
  <c r="D57" i="25588"/>
  <c r="F72" i="25588"/>
  <c r="D80" i="25588"/>
  <c r="D89" i="25588"/>
  <c r="F108" i="25588"/>
  <c r="D105" i="25588"/>
  <c r="D92" i="25588"/>
  <c r="F68" i="25588"/>
  <c r="D101" i="25588"/>
  <c r="C48" i="25590"/>
  <c r="C109" i="25590"/>
  <c r="C108" i="25590"/>
  <c r="E32" i="25590"/>
  <c r="C112" i="25590"/>
  <c r="C97" i="25590"/>
  <c r="C15" i="25590"/>
  <c r="C87" i="25590"/>
  <c r="C28" i="25590"/>
  <c r="C77" i="25590"/>
  <c r="C89" i="25590"/>
  <c r="C53" i="25590"/>
  <c r="G64" i="25590"/>
  <c r="D105" i="25590"/>
  <c r="C72" i="25590"/>
  <c r="G88" i="25590"/>
  <c r="C14" i="25590"/>
  <c r="C25" i="25590"/>
  <c r="C80" i="25590"/>
  <c r="D16" i="25590"/>
  <c r="C12" i="25590"/>
  <c r="C110" i="25590"/>
  <c r="C99" i="25590"/>
  <c r="C11" i="25590"/>
  <c r="E72" i="25590"/>
  <c r="D88" i="25590"/>
  <c r="D32" i="25590"/>
  <c r="C93" i="25590"/>
  <c r="C78" i="25590"/>
  <c r="C41" i="25590"/>
  <c r="C23" i="25590"/>
  <c r="C56" i="25590"/>
  <c r="D80" i="25590"/>
  <c r="C27" i="25590"/>
  <c r="C57" i="25590"/>
  <c r="C63" i="25590"/>
  <c r="C30" i="25590"/>
  <c r="D73" i="25590"/>
  <c r="C62" i="25590"/>
  <c r="G56" i="25590"/>
  <c r="D48" i="25590"/>
  <c r="D33" i="25590"/>
  <c r="C65" i="25590"/>
  <c r="D41" i="25590"/>
  <c r="E96" i="25590"/>
  <c r="E16" i="25590"/>
  <c r="F30" i="25590"/>
  <c r="F46" i="25590"/>
  <c r="D43" i="25590"/>
  <c r="C50" i="25590"/>
  <c r="D58" i="25590"/>
  <c r="G66" i="25590"/>
  <c r="E74" i="25590"/>
  <c r="C82" i="25590"/>
  <c r="D97" i="25590"/>
  <c r="E80" i="25590"/>
  <c r="D49" i="25590"/>
  <c r="C85" i="25590"/>
  <c r="C31" i="25590"/>
  <c r="C101" i="25590"/>
  <c r="C71" i="25590"/>
  <c r="D56" i="25590"/>
  <c r="D65" i="25590"/>
  <c r="C35" i="25590"/>
  <c r="C55" i="25590"/>
  <c r="C100" i="25590"/>
  <c r="C102" i="25590"/>
  <c r="F28" i="25590"/>
  <c r="C39" i="25590"/>
  <c r="C92" i="25590"/>
  <c r="G80" i="25590"/>
  <c r="C49" i="25590"/>
  <c r="C104" i="25590"/>
  <c r="C103" i="25590"/>
  <c r="C84" i="25590"/>
  <c r="C81" i="25590"/>
  <c r="C73" i="25590"/>
  <c r="C94" i="25590"/>
  <c r="C47" i="25590"/>
  <c r="F76" i="25590"/>
  <c r="D37" i="25590"/>
  <c r="F52" i="25590"/>
  <c r="F80" i="25590"/>
  <c r="C20" i="25590"/>
  <c r="C69" i="25590"/>
  <c r="C105" i="25590"/>
  <c r="F40" i="25590"/>
  <c r="F112" i="25590"/>
  <c r="C61" i="25590"/>
  <c r="D89" i="25590"/>
  <c r="F96" i="25590"/>
  <c r="F104" i="25590"/>
  <c r="F20" i="25590"/>
  <c r="C19" i="25590"/>
  <c r="C33" i="25590"/>
  <c r="C95" i="25590"/>
  <c r="D40" i="25590"/>
  <c r="C54" i="25590"/>
  <c r="C43" i="25590"/>
  <c r="D86" i="25590"/>
  <c r="D102" i="25590"/>
  <c r="C22" i="25587"/>
  <c r="D30" i="25587"/>
  <c r="F22" i="25587"/>
  <c r="D14" i="25587"/>
  <c r="F50" i="25587"/>
  <c r="E14" i="25587"/>
  <c r="D22" i="25587"/>
  <c r="F48" i="25587"/>
  <c r="F42" i="25587"/>
  <c r="C35" i="25587"/>
  <c r="D15" i="25587"/>
  <c r="E11" i="25587"/>
  <c r="D27" i="25587"/>
  <c r="C59" i="25587"/>
  <c r="E35" i="25587"/>
  <c r="D48" i="25587"/>
  <c r="F30" i="25587"/>
  <c r="D49" i="25587"/>
  <c r="D57" i="25587"/>
  <c r="E59" i="25587"/>
  <c r="D9" i="25586"/>
  <c r="C22" i="25586"/>
  <c r="E47" i="25586"/>
  <c r="E9" i="25586"/>
  <c r="C56" i="25586"/>
  <c r="D49" i="25586"/>
  <c r="G56" i="25586"/>
  <c r="E11" i="25586"/>
  <c r="C27" i="25586"/>
  <c r="E17" i="25586"/>
  <c r="C18" i="25586"/>
  <c r="C55" i="25586"/>
  <c r="C9" i="25586"/>
  <c r="D57" i="25586"/>
  <c r="C48" i="25586"/>
  <c r="D37" i="25586"/>
  <c r="G48" i="25586"/>
  <c r="F47" i="25586"/>
  <c r="D10" i="25586"/>
  <c r="D18" i="25586"/>
  <c r="D17" i="25586"/>
  <c r="C16" i="25586"/>
  <c r="E15" i="25586"/>
  <c r="C34" i="25586"/>
  <c r="C52" i="25586"/>
  <c r="G57" i="25586"/>
  <c r="D25" i="25586"/>
  <c r="C36" i="25586"/>
  <c r="C47" i="25586"/>
  <c r="C49" i="25586"/>
  <c r="C44" i="25586"/>
  <c r="D33" i="25586"/>
  <c r="E16" i="25586"/>
  <c r="F37" i="25586"/>
  <c r="C43" i="25586"/>
  <c r="C8" i="25586"/>
  <c r="F59" i="25586"/>
  <c r="D32" i="25586"/>
  <c r="C29" i="25586"/>
  <c r="C19" i="25586"/>
  <c r="C40" i="25586"/>
  <c r="C51" i="25586"/>
  <c r="C32" i="25586"/>
  <c r="F49" i="25586"/>
  <c r="C17" i="25586"/>
  <c r="F48" i="25586"/>
  <c r="C59" i="25586"/>
  <c r="C10" i="25586"/>
  <c r="C23" i="25586"/>
  <c r="G32" i="25586"/>
  <c r="C45" i="25586"/>
  <c r="C35" i="25586"/>
  <c r="G47" i="25586"/>
  <c r="C11" i="25586"/>
  <c r="F36" i="25586"/>
  <c r="F57" i="25586"/>
  <c r="E24" i="25586"/>
  <c r="C39" i="25586"/>
  <c r="E30" i="25586"/>
  <c r="E10" i="25586"/>
  <c r="C21" i="25586"/>
  <c r="C53" i="25586"/>
  <c r="C33" i="25586"/>
  <c r="E74" i="25588"/>
  <c r="F54" i="25588"/>
  <c r="F102" i="25588"/>
  <c r="E100" i="25588"/>
  <c r="D50" i="25590"/>
  <c r="D66" i="25590"/>
  <c r="D10" i="25590"/>
  <c r="E45" i="25590"/>
  <c r="D71" i="25588"/>
  <c r="E46" i="25590"/>
  <c r="C42" i="25590"/>
  <c r="E23" i="25588"/>
  <c r="E79" i="25588"/>
  <c r="G74" i="25590"/>
  <c r="D11" i="25590"/>
  <c r="E42" i="25590"/>
  <c r="G51" i="25590"/>
  <c r="D67" i="25590"/>
  <c r="E75" i="25590"/>
  <c r="D83" i="25590"/>
  <c r="E99" i="25590"/>
  <c r="G107" i="25590"/>
  <c r="D87" i="25588"/>
  <c r="F95" i="25588"/>
  <c r="F103" i="25588"/>
  <c r="D111" i="25588"/>
  <c r="F82" i="25590"/>
  <c r="D34" i="25590"/>
  <c r="D35" i="25590"/>
  <c r="D19" i="25590"/>
  <c r="E29" i="25588"/>
  <c r="D47" i="25588"/>
  <c r="E71" i="25588"/>
  <c r="E65" i="25590"/>
  <c r="F78" i="25590"/>
  <c r="E27" i="25588"/>
  <c r="E36" i="25590"/>
  <c r="E31" i="25588"/>
  <c r="E25" i="25588"/>
  <c r="D70" i="25588"/>
  <c r="F94" i="25590"/>
  <c r="F74" i="25588"/>
  <c r="E64" i="25590"/>
  <c r="G78" i="25588"/>
  <c r="E44" i="25590"/>
  <c r="C32" i="25588"/>
  <c r="G64" i="25588"/>
  <c r="G70" i="25588"/>
  <c r="D55" i="25588"/>
  <c r="G102" i="25588"/>
  <c r="F66" i="25590"/>
  <c r="C38" i="25588"/>
  <c r="D31" i="25588"/>
  <c r="E26" i="25590"/>
  <c r="F22" i="25588"/>
  <c r="E54" i="25588"/>
  <c r="F82" i="25588"/>
  <c r="E94" i="25588"/>
  <c r="C66" i="25590"/>
  <c r="D82" i="25590"/>
  <c r="E66" i="25590"/>
  <c r="E58" i="25590"/>
  <c r="E93" i="25590"/>
  <c r="F62" i="25590"/>
  <c r="E12" i="25590"/>
  <c r="D27" i="25590"/>
  <c r="D38" i="25588"/>
  <c r="G58" i="25590"/>
  <c r="F110" i="25588"/>
  <c r="E33" i="25588"/>
  <c r="G86" i="25588"/>
  <c r="E13" i="25590"/>
  <c r="F33" i="25590"/>
  <c r="E29" i="25590"/>
  <c r="D46" i="25590"/>
  <c r="E61" i="25590"/>
  <c r="F26" i="25590"/>
  <c r="F94" i="25588"/>
  <c r="C58" i="25590"/>
  <c r="F38" i="25588"/>
  <c r="C26" i="25590"/>
  <c r="D22" i="25588"/>
  <c r="E82" i="25588"/>
  <c r="E98" i="25588"/>
  <c r="E106" i="25588"/>
  <c r="D42" i="25590"/>
  <c r="C34" i="25590"/>
  <c r="C18" i="25590"/>
  <c r="F70" i="25590"/>
  <c r="D46" i="25588"/>
  <c r="F90" i="25588"/>
  <c r="E30" i="25588"/>
  <c r="E76" i="25588"/>
  <c r="F34" i="25590"/>
  <c r="E53" i="25588"/>
  <c r="E55" i="25588"/>
  <c r="D14" i="25588"/>
  <c r="F58" i="25590"/>
  <c r="F50" i="25588"/>
  <c r="E86" i="25588"/>
  <c r="D94" i="25588"/>
  <c r="E50" i="25590"/>
  <c r="G34" i="25590"/>
  <c r="D39" i="25588"/>
  <c r="D30" i="25588"/>
  <c r="G54" i="25588"/>
  <c r="F54" i="25590"/>
  <c r="D26" i="25590"/>
  <c r="G110" i="25588"/>
  <c r="F74" i="25590"/>
  <c r="G82" i="25590"/>
  <c r="D54" i="25588"/>
  <c r="F26" i="25588"/>
  <c r="C74" i="25590"/>
  <c r="E105" i="25588"/>
  <c r="E41" i="25590"/>
  <c r="E85" i="25590"/>
  <c r="E86" i="25590"/>
  <c r="E62" i="25590"/>
  <c r="D74" i="25590"/>
  <c r="E99" i="25588"/>
  <c r="E40" i="25590"/>
  <c r="E39" i="25590"/>
  <c r="E11" i="25590"/>
  <c r="E34" i="25590"/>
  <c r="E22" i="25590"/>
  <c r="F78" i="25588"/>
  <c r="E81" i="25588"/>
  <c r="E46" i="25588"/>
  <c r="E92" i="25590"/>
  <c r="G42" i="25590"/>
  <c r="F22" i="25590"/>
  <c r="E88" i="25590"/>
  <c r="G72" i="25590"/>
  <c r="D28" i="25588"/>
  <c r="E101" i="25588"/>
  <c r="E82" i="25590"/>
  <c r="E51" i="25588"/>
  <c r="E94" i="25590"/>
  <c r="E89" i="25590"/>
  <c r="E103" i="2316"/>
  <c r="F137" i="2316"/>
  <c r="C71" i="2316"/>
  <c r="F78" i="2316"/>
  <c r="D86" i="2316"/>
  <c r="G149" i="2316"/>
  <c r="F130" i="2316"/>
  <c r="E123" i="2316"/>
  <c r="C94" i="2316"/>
  <c r="F109" i="2316"/>
  <c r="G138" i="2316"/>
  <c r="D102" i="2316"/>
  <c r="F147" i="2316"/>
  <c r="F106" i="2316"/>
  <c r="F83" i="2316"/>
  <c r="C148" i="2316"/>
  <c r="D135" i="2316"/>
  <c r="E120" i="2316"/>
  <c r="D64" i="2316"/>
  <c r="D119" i="2316"/>
  <c r="B18" i="25582" s="1"/>
  <c r="F118" i="2316"/>
  <c r="C156" i="2316"/>
  <c r="E135" i="2316"/>
  <c r="D95" i="2316"/>
  <c r="F98" i="2316"/>
  <c r="G111" i="2316"/>
  <c r="D110" i="2316"/>
  <c r="E102" i="2316"/>
  <c r="E97" i="2316"/>
  <c r="D72" i="2316"/>
  <c r="E127" i="2316"/>
  <c r="D148" i="2316"/>
  <c r="G86" i="2316"/>
  <c r="G64" i="2316"/>
  <c r="E125" i="2316"/>
  <c r="G134" i="2316"/>
  <c r="D149" i="2316"/>
  <c r="C64" i="2316"/>
  <c r="D157" i="2316"/>
  <c r="F94" i="2316"/>
  <c r="G71" i="2316"/>
  <c r="G148" i="2316"/>
  <c r="F86" i="2316"/>
  <c r="G159" i="2316"/>
  <c r="C110" i="2316"/>
  <c r="D65" i="2316"/>
  <c r="E122" i="2316"/>
  <c r="E124" i="2316"/>
  <c r="E105" i="2316"/>
  <c r="E101" i="2316"/>
  <c r="F76" i="2316"/>
  <c r="E96" i="2316"/>
  <c r="E100" i="2316"/>
  <c r="D79" i="2316"/>
  <c r="E99" i="2316"/>
  <c r="E110" i="2316"/>
  <c r="G102" i="2316"/>
  <c r="C86" i="2316"/>
  <c r="D94" i="2316"/>
  <c r="E130" i="2316"/>
  <c r="F90" i="2316"/>
  <c r="D118" i="2316"/>
  <c r="G125" i="2316"/>
  <c r="E78" i="2316"/>
  <c r="D87" i="2316"/>
  <c r="D98" i="2316"/>
  <c r="F102" i="2316"/>
  <c r="E129" i="2316"/>
  <c r="F110" i="2316"/>
  <c r="G156" i="2316"/>
  <c r="G118" i="2316"/>
  <c r="E121" i="2316"/>
  <c r="E128" i="2316"/>
  <c r="E156" i="2316"/>
  <c r="D103" i="2316"/>
  <c r="F71" i="2316"/>
  <c r="E94" i="2316"/>
  <c r="D156" i="2316"/>
  <c r="G110" i="2316"/>
  <c r="D78" i="2316"/>
  <c r="F135" i="2316"/>
  <c r="G94" i="2316"/>
  <c r="E71" i="2316"/>
  <c r="D96" i="32"/>
  <c r="F123" i="32"/>
  <c r="D119" i="32"/>
  <c r="E111" i="32"/>
  <c r="C131" i="32"/>
  <c r="D140" i="32"/>
  <c r="F146" i="32"/>
  <c r="E66" i="32"/>
  <c r="D67" i="32"/>
  <c r="F92" i="32"/>
  <c r="G111" i="32"/>
  <c r="G131" i="32"/>
  <c r="F95" i="32"/>
  <c r="D95" i="32"/>
  <c r="E131" i="32"/>
  <c r="D146" i="32"/>
  <c r="D74" i="32"/>
  <c r="D131" i="32"/>
  <c r="F143" i="32"/>
  <c r="E103" i="32"/>
  <c r="F119" i="32"/>
  <c r="D75" i="32"/>
  <c r="F78" i="32"/>
  <c r="E139" i="32"/>
  <c r="G139" i="32"/>
  <c r="F151" i="32"/>
  <c r="G135" i="32"/>
  <c r="E95" i="32"/>
  <c r="G98" i="32"/>
  <c r="F111" i="32"/>
  <c r="C88" i="32"/>
  <c r="E119" i="32"/>
  <c r="G95" i="32"/>
  <c r="F131" i="32"/>
  <c r="D104" i="32"/>
  <c r="C119" i="32"/>
  <c r="F86" i="32"/>
  <c r="C91" i="32"/>
  <c r="G114" i="32"/>
  <c r="F115" i="32"/>
  <c r="E74" i="32"/>
  <c r="D103" i="32"/>
  <c r="F81" i="32"/>
  <c r="G140" i="32"/>
  <c r="D89" i="32"/>
  <c r="G143" i="32"/>
  <c r="D139" i="32"/>
  <c r="D66" i="32"/>
  <c r="C146" i="32"/>
  <c r="F158" i="32"/>
  <c r="F66" i="32"/>
  <c r="C74" i="32"/>
  <c r="D111" i="32"/>
  <c r="E146" i="32"/>
  <c r="C66" i="32"/>
  <c r="C139" i="32"/>
  <c r="G133" i="1024"/>
  <c r="D133" i="1024"/>
  <c r="E122" i="1024"/>
  <c r="D136" i="1024"/>
  <c r="D92" i="1024"/>
  <c r="C99" i="1024"/>
  <c r="G156" i="1024"/>
  <c r="F118" i="1024"/>
  <c r="E137" i="1024"/>
  <c r="F69" i="1024"/>
  <c r="E106" i="1024"/>
  <c r="E142" i="1024"/>
  <c r="G101" i="1024"/>
  <c r="E113" i="1024"/>
  <c r="G99" i="1024"/>
  <c r="G136" i="1024"/>
  <c r="C92" i="1024"/>
  <c r="D123" i="1024"/>
  <c r="D132" i="1024"/>
  <c r="F104" i="1024"/>
  <c r="F74" i="1024"/>
  <c r="E134" i="1024"/>
  <c r="F145" i="1024"/>
  <c r="D69" i="1024"/>
  <c r="G62" i="1024"/>
  <c r="G108" i="1024"/>
  <c r="E112" i="1024"/>
  <c r="C122" i="1024"/>
  <c r="C77" i="1024"/>
  <c r="E111" i="1024"/>
  <c r="D93" i="1024"/>
  <c r="D152" i="1024"/>
  <c r="E130" i="1024"/>
  <c r="D100" i="1024"/>
  <c r="D62" i="1024"/>
  <c r="G92" i="1024"/>
  <c r="G123" i="1024"/>
  <c r="E132" i="1024"/>
  <c r="C62" i="1024"/>
  <c r="D85" i="1024"/>
  <c r="G93" i="1024"/>
  <c r="F96" i="1024"/>
  <c r="E144" i="1024"/>
  <c r="F114" i="1024"/>
  <c r="E108" i="1024"/>
  <c r="G114" i="1024"/>
  <c r="D63" i="1024"/>
  <c r="D107" i="1024"/>
  <c r="E135" i="1024"/>
  <c r="F106" i="1024"/>
  <c r="D131" i="1024"/>
  <c r="F84" i="1024"/>
  <c r="F89" i="1024"/>
  <c r="F81" i="1024"/>
  <c r="F144" i="1024"/>
  <c r="D70" i="1024"/>
  <c r="F156" i="1024"/>
  <c r="C69" i="1024"/>
  <c r="F142" i="1024"/>
  <c r="G84" i="1024"/>
  <c r="E140" i="1024"/>
  <c r="E107" i="1024"/>
  <c r="E131" i="1024"/>
  <c r="D114" i="1024"/>
  <c r="C130" i="1024"/>
  <c r="F99" i="1024"/>
  <c r="E136" i="1024"/>
  <c r="G77" i="1024"/>
  <c r="E139" i="1024"/>
  <c r="E84" i="1024"/>
  <c r="E99" i="1024"/>
  <c r="F126" i="1024"/>
  <c r="E138" i="1024"/>
  <c r="G154" i="1024"/>
  <c r="C136" i="1024"/>
  <c r="D77" i="1024"/>
  <c r="F111" i="1024"/>
  <c r="D115" i="1024"/>
  <c r="G157" i="1024"/>
  <c r="D84" i="1024"/>
  <c r="G144" i="1024"/>
  <c r="D144" i="1024"/>
  <c r="E114" i="1024"/>
  <c r="E115" i="1024"/>
  <c r="G106" i="1024"/>
  <c r="D106" i="1024"/>
  <c r="D78" i="1024"/>
  <c r="E141" i="1024"/>
  <c r="G132" i="1024"/>
  <c r="D130" i="1024"/>
  <c r="E133" i="1024"/>
  <c r="F130" i="1024"/>
  <c r="D127" i="9216"/>
  <c r="C77" i="9216"/>
  <c r="D69" i="9216"/>
  <c r="C91" i="9216"/>
  <c r="G142" i="9216"/>
  <c r="D107" i="9216"/>
  <c r="E84" i="9216"/>
  <c r="E91" i="9216"/>
  <c r="G127" i="9216"/>
  <c r="E69" i="9216"/>
  <c r="F114" i="9216"/>
  <c r="D153" i="9216"/>
  <c r="G115" i="9216"/>
  <c r="D91" i="9216"/>
  <c r="E149" i="9216"/>
  <c r="E147" i="9216"/>
  <c r="D152" i="9216"/>
  <c r="C62" i="9216"/>
  <c r="C84" i="9216"/>
  <c r="D138" i="9216"/>
  <c r="E144" i="9216"/>
  <c r="G101" i="9216"/>
  <c r="F89" i="9216"/>
  <c r="D156" i="9216"/>
  <c r="G62" i="9216"/>
  <c r="D108" i="9216"/>
  <c r="D99" i="9216"/>
  <c r="D62" i="9216"/>
  <c r="G91" i="9216"/>
  <c r="G86" i="9216"/>
  <c r="F130" i="9216"/>
  <c r="D63" i="9216"/>
  <c r="E107" i="9216"/>
  <c r="G77" i="9216"/>
  <c r="F149" i="9216"/>
  <c r="D78" i="9216"/>
  <c r="G93" i="9216"/>
  <c r="E153" i="9216"/>
  <c r="G152" i="9216"/>
  <c r="F99" i="9216"/>
  <c r="C127" i="9216"/>
  <c r="F96" i="9216"/>
  <c r="F119" i="9216"/>
  <c r="G107" i="9216"/>
  <c r="E145" i="9216"/>
  <c r="D77" i="9216"/>
  <c r="E150" i="9216"/>
  <c r="E77" i="9216"/>
  <c r="F62" i="9216"/>
  <c r="E137" i="9216"/>
  <c r="E99" i="9216"/>
  <c r="D137" i="9216"/>
  <c r="E142" i="9216"/>
  <c r="F152" i="9216"/>
  <c r="E127" i="9216"/>
  <c r="G155" i="9216"/>
  <c r="D104" i="9216"/>
  <c r="D70" i="9216"/>
  <c r="G84" i="9216"/>
  <c r="F111" i="9216"/>
  <c r="G131" i="9216"/>
  <c r="E146" i="9216"/>
  <c r="F81" i="9216"/>
  <c r="G69" i="9216"/>
  <c r="E151" i="9216"/>
  <c r="D128" i="9216"/>
  <c r="C142" i="9216"/>
  <c r="F142" i="9216"/>
  <c r="G108" i="9216"/>
  <c r="F74" i="9216"/>
  <c r="F154" i="9216"/>
  <c r="D92" i="9216"/>
  <c r="F84" i="9216"/>
  <c r="G62" i="20994"/>
  <c r="G123" i="20994"/>
  <c r="E99" i="20994"/>
  <c r="G83" i="20994"/>
  <c r="D100" i="20994"/>
  <c r="C121" i="20994"/>
  <c r="D145" i="20994"/>
  <c r="D70" i="20994"/>
  <c r="E138" i="20994"/>
  <c r="C145" i="20994"/>
  <c r="D113" i="20994"/>
  <c r="F128" i="20994"/>
  <c r="F121" i="20994"/>
  <c r="D138" i="20994"/>
  <c r="C62" i="20994"/>
  <c r="D122" i="20994"/>
  <c r="F103" i="20994"/>
  <c r="F118" i="20994"/>
  <c r="F140" i="20994"/>
  <c r="F125" i="20994"/>
  <c r="D62" i="20994"/>
  <c r="E106" i="20994"/>
  <c r="G113" i="20994"/>
  <c r="D129" i="20994"/>
  <c r="G77" i="20994"/>
  <c r="D121" i="20994"/>
  <c r="F62" i="20994"/>
  <c r="G115" i="20994"/>
  <c r="E118" i="20994"/>
  <c r="E159" i="20994"/>
  <c r="E157" i="20994"/>
  <c r="D106" i="20994"/>
  <c r="D83" i="20994"/>
  <c r="G121" i="20994"/>
  <c r="G99" i="20994"/>
  <c r="G93" i="20994"/>
  <c r="C141" i="20994"/>
  <c r="G130" i="20994"/>
  <c r="G86" i="20994"/>
  <c r="D84" i="20994"/>
  <c r="E76" i="20994"/>
  <c r="D91" i="20994"/>
  <c r="E156" i="20994"/>
  <c r="D139" i="20994"/>
  <c r="F157" i="20994"/>
  <c r="E110" i="20994"/>
  <c r="C106" i="20994"/>
  <c r="F138" i="20994"/>
  <c r="C128" i="20994"/>
  <c r="D76" i="20994"/>
  <c r="C76" i="20994"/>
  <c r="F69" i="20994"/>
  <c r="D114" i="20994"/>
  <c r="F106" i="20994"/>
  <c r="E91" i="20994"/>
  <c r="F76" i="20994"/>
  <c r="E128" i="20994"/>
  <c r="D128" i="20994"/>
  <c r="D155" i="20994"/>
  <c r="D107" i="20994"/>
  <c r="E109" i="20994"/>
  <c r="G152" i="20994"/>
  <c r="G138" i="20994"/>
  <c r="F83" i="20994"/>
  <c r="G76" i="20994"/>
  <c r="E69" i="20994"/>
  <c r="G106" i="20994"/>
  <c r="C138" i="20994"/>
  <c r="G95" i="20994"/>
  <c r="G134" i="20994"/>
  <c r="C113" i="20994"/>
  <c r="D63" i="20994"/>
  <c r="C91" i="20994"/>
  <c r="F99" i="20994"/>
  <c r="C99" i="20994"/>
  <c r="D77" i="20994"/>
  <c r="G100" i="20994"/>
  <c r="C154" i="20994"/>
  <c r="C69" i="20994"/>
  <c r="E62" i="20994"/>
  <c r="G91" i="20994"/>
  <c r="D69" i="20994"/>
  <c r="G154" i="20994"/>
  <c r="G107" i="20994"/>
  <c r="G69" i="20994"/>
  <c r="F81" i="20994"/>
  <c r="D97" i="20994"/>
  <c r="E154" i="20994"/>
  <c r="G131" i="768"/>
  <c r="E103" i="768"/>
  <c r="F143" i="768"/>
  <c r="D62" i="768"/>
  <c r="D81" i="768"/>
  <c r="G126" i="768"/>
  <c r="G110" i="768"/>
  <c r="E138" i="768"/>
  <c r="G130" i="768"/>
  <c r="E122" i="768"/>
  <c r="C67" i="768"/>
  <c r="E119" i="768"/>
  <c r="D157" i="768"/>
  <c r="C159" i="768"/>
  <c r="G97" i="768"/>
  <c r="F126" i="768"/>
  <c r="F108" i="768"/>
  <c r="F122" i="768"/>
  <c r="G150" i="768"/>
  <c r="D61" i="768"/>
  <c r="D118" i="768"/>
  <c r="G142" i="768"/>
  <c r="F85" i="768"/>
  <c r="E120" i="768"/>
  <c r="G141" i="768"/>
  <c r="E140" i="768"/>
  <c r="D67" i="768"/>
  <c r="F131" i="768"/>
  <c r="G85" i="768"/>
  <c r="F110" i="768"/>
  <c r="E126" i="768"/>
  <c r="E80" i="768"/>
  <c r="G91" i="768"/>
  <c r="G104" i="768"/>
  <c r="G127" i="768"/>
  <c r="G112" i="768"/>
  <c r="D142" i="768"/>
  <c r="C96" i="768"/>
  <c r="G155" i="768"/>
  <c r="E141" i="768"/>
  <c r="E123" i="768"/>
  <c r="G153" i="768"/>
  <c r="E129" i="768"/>
  <c r="F100" i="768"/>
  <c r="E130" i="768"/>
  <c r="G134" i="768"/>
  <c r="E132" i="768"/>
  <c r="E137" i="768"/>
  <c r="E67" i="768"/>
  <c r="E92" i="768"/>
  <c r="G103" i="768"/>
  <c r="F148" i="768"/>
  <c r="G80" i="768"/>
  <c r="F153" i="768"/>
  <c r="D97" i="768"/>
  <c r="C103" i="768"/>
  <c r="F73" i="768"/>
  <c r="F118" i="768"/>
  <c r="D74" i="768"/>
  <c r="D126" i="768"/>
  <c r="E88" i="768"/>
  <c r="E125" i="768"/>
  <c r="C130" i="768"/>
  <c r="E71" i="768"/>
  <c r="F115" i="768"/>
  <c r="C80" i="768"/>
  <c r="D68" i="768"/>
  <c r="E131" i="768"/>
  <c r="G88" i="768"/>
  <c r="D127" i="768"/>
  <c r="G129" i="768"/>
  <c r="E148" i="768"/>
  <c r="E142" i="768"/>
  <c r="G73" i="768"/>
  <c r="F79" i="768"/>
  <c r="G118" i="768"/>
  <c r="D109" i="768"/>
  <c r="F96" i="768"/>
  <c r="D104" i="768"/>
  <c r="D73" i="768"/>
  <c r="E73" i="768"/>
  <c r="E139" i="768"/>
  <c r="D89" i="768"/>
  <c r="D88" i="768"/>
  <c r="F130" i="768"/>
  <c r="E134" i="768"/>
  <c r="C126" i="768"/>
  <c r="F142" i="768"/>
  <c r="G67" i="768"/>
  <c r="G154" i="768"/>
  <c r="C124" i="10285"/>
  <c r="D29" i="10285"/>
  <c r="E11" i="10285"/>
  <c r="F42" i="10285"/>
  <c r="C92" i="10285"/>
  <c r="D30" i="10285"/>
  <c r="D12" i="10285"/>
  <c r="G35" i="10285"/>
  <c r="F20" i="10285"/>
  <c r="F31" i="10285"/>
  <c r="C104" i="10285"/>
  <c r="C151" i="10285"/>
  <c r="D38" i="10285"/>
  <c r="F47" i="10285"/>
  <c r="C67" i="10285"/>
  <c r="G67" i="10285" s="1"/>
  <c r="C61" i="10285"/>
  <c r="G61" i="10285" s="1"/>
  <c r="D104" i="25580"/>
  <c r="D60" i="25580"/>
  <c r="F80" i="25580"/>
  <c r="E91" i="25580"/>
  <c r="G112" i="25580"/>
  <c r="G145" i="25580"/>
  <c r="F98" i="25580"/>
  <c r="G113" i="25580"/>
  <c r="D129" i="25580"/>
  <c r="L30" i="25582" s="1"/>
  <c r="F128" i="25580"/>
  <c r="E113" i="25580"/>
  <c r="E61" i="25580"/>
  <c r="G90" i="25580"/>
  <c r="D142" i="25580"/>
  <c r="D120" i="25580"/>
  <c r="G89" i="25580"/>
  <c r="G144" i="25580"/>
  <c r="G139" i="25580"/>
  <c r="D141" i="25580"/>
  <c r="F72" i="25580"/>
  <c r="E74" i="25580"/>
  <c r="E88" i="25580"/>
  <c r="C104" i="25580"/>
  <c r="E141" i="25580"/>
  <c r="E158" i="25580"/>
  <c r="G91" i="25580"/>
  <c r="E112" i="25580"/>
  <c r="D90" i="25580"/>
  <c r="G104" i="25580"/>
  <c r="C148" i="25580"/>
  <c r="D132" i="25580"/>
  <c r="F143" i="25580"/>
  <c r="F93" i="25580"/>
  <c r="D153" i="25580"/>
  <c r="D98" i="25580"/>
  <c r="C121" i="25580"/>
  <c r="E83" i="25580"/>
  <c r="F116" i="25580"/>
  <c r="E105" i="25580"/>
  <c r="C67" i="25580"/>
  <c r="D149" i="25580"/>
  <c r="G129" i="25580"/>
  <c r="G131" i="25580"/>
  <c r="E68" i="25580"/>
  <c r="F144" i="25580"/>
  <c r="G60" i="25580"/>
  <c r="D61" i="25580"/>
  <c r="C82" i="25580"/>
  <c r="D140" i="25580"/>
  <c r="D156" i="25580"/>
  <c r="C68" i="25580"/>
  <c r="C98" i="25580"/>
  <c r="D113" i="25580"/>
  <c r="D91" i="25580"/>
  <c r="F117" i="25580"/>
  <c r="D67" i="25580"/>
  <c r="D74" i="25580"/>
  <c r="G137" i="25580"/>
  <c r="E84" i="25580"/>
  <c r="G136" i="25580"/>
  <c r="E104" i="25580"/>
  <c r="D133" i="25580"/>
  <c r="F109" i="25580"/>
  <c r="D148" i="25580"/>
  <c r="C105" i="25580"/>
  <c r="C131" i="25580"/>
  <c r="G92" i="25580"/>
  <c r="E85" i="25580"/>
  <c r="G156" i="25580"/>
  <c r="F60" i="25580"/>
  <c r="G61" i="25580"/>
  <c r="G81" i="25580"/>
  <c r="F63" i="25580"/>
  <c r="F68" i="25580"/>
  <c r="D97" i="25580"/>
  <c r="G122" i="25580"/>
  <c r="F112" i="25580"/>
  <c r="G121" i="25580"/>
  <c r="G141" i="25580"/>
  <c r="G133" i="25580"/>
  <c r="G128" i="25580"/>
  <c r="D68" i="25580"/>
  <c r="G97" i="25580"/>
  <c r="G84" i="25580"/>
  <c r="F148" i="25580"/>
  <c r="E82" i="25580"/>
  <c r="E81" i="25580"/>
  <c r="E87" i="25580"/>
  <c r="G148" i="25580"/>
  <c r="F139" i="25580"/>
  <c r="G155" i="25580"/>
  <c r="D82" i="25580"/>
  <c r="F120" i="25580"/>
  <c r="F125" i="25580"/>
  <c r="C60" i="25580"/>
  <c r="G152" i="25580"/>
  <c r="C141" i="25580"/>
  <c r="D99" i="25580"/>
  <c r="F81" i="25580"/>
  <c r="F121" i="25580"/>
  <c r="F89" i="25580"/>
  <c r="D128" i="25580"/>
  <c r="F74" i="25580"/>
  <c r="G85" i="25580"/>
  <c r="D112" i="25580"/>
  <c r="F79" i="25580"/>
  <c r="C139" i="25580"/>
  <c r="C89" i="25580"/>
  <c r="E67" i="25580"/>
  <c r="G82" i="25580"/>
  <c r="E98" i="25580"/>
  <c r="E78" i="25580"/>
  <c r="C154" i="25580"/>
  <c r="G120" i="25580"/>
  <c r="C90" i="25580"/>
  <c r="E97" i="25580"/>
  <c r="F61" i="25580"/>
  <c r="F90" i="25580"/>
  <c r="E120" i="25580"/>
  <c r="E139" i="25580"/>
  <c r="D81" i="25580"/>
  <c r="G67" i="25580"/>
  <c r="D139" i="25580"/>
  <c r="E79" i="25580"/>
  <c r="E121" i="25580"/>
  <c r="D52" i="4888"/>
  <c r="E34" i="4888"/>
  <c r="B53" i="4888"/>
  <c r="B67" i="4888"/>
  <c r="G33" i="4888"/>
  <c r="F52" i="4888"/>
  <c r="F64" i="4888"/>
  <c r="B10" i="4888"/>
  <c r="E19" i="4888" s="1"/>
  <c r="G52" i="4888"/>
  <c r="D9" i="4888"/>
  <c r="G90" i="3584"/>
  <c r="G120" i="3584"/>
  <c r="E117" i="3584"/>
  <c r="C157" i="3584"/>
  <c r="G117" i="3584"/>
  <c r="F103" i="3584"/>
  <c r="G134" i="3584"/>
  <c r="D138" i="3584"/>
  <c r="F95" i="3584"/>
  <c r="D83" i="3584"/>
  <c r="C96" i="3584"/>
  <c r="E66" i="3584"/>
  <c r="C83" i="3584"/>
  <c r="G79" i="3584"/>
  <c r="G103" i="3584"/>
  <c r="C73" i="3584"/>
  <c r="F73" i="3584"/>
  <c r="F66" i="3584"/>
  <c r="D79" i="3584"/>
  <c r="D73" i="3584"/>
  <c r="D91" i="3584"/>
  <c r="F117" i="3584"/>
  <c r="D111" i="3584"/>
  <c r="D96" i="3584"/>
  <c r="C79" i="3584"/>
  <c r="E74" i="3584"/>
  <c r="D84" i="3584"/>
  <c r="D141" i="3584"/>
  <c r="G125" i="3584"/>
  <c r="D97" i="3584"/>
  <c r="G157" i="3584"/>
  <c r="F91" i="3584"/>
  <c r="F147" i="3584"/>
  <c r="D118" i="3584"/>
  <c r="F96" i="3584"/>
  <c r="E91" i="3584"/>
  <c r="G73" i="3584"/>
  <c r="G141" i="3584"/>
  <c r="G110" i="3584"/>
  <c r="G99" i="3584"/>
  <c r="F105" i="3584"/>
  <c r="F121" i="3584"/>
  <c r="E125" i="3584"/>
  <c r="D137" i="3584"/>
  <c r="E137" i="3584"/>
  <c r="F78" i="3584"/>
  <c r="D66" i="3584"/>
  <c r="D125" i="3584"/>
  <c r="F129" i="3584"/>
  <c r="D158" i="3584"/>
  <c r="D126" i="3584"/>
  <c r="E110" i="3584"/>
  <c r="E157" i="3584"/>
  <c r="G115" i="3584"/>
  <c r="C82" i="3584"/>
  <c r="G97" i="3584"/>
  <c r="D67" i="3584"/>
  <c r="D117" i="3584"/>
  <c r="C66" i="3584"/>
  <c r="F149" i="3584"/>
  <c r="G91" i="3584"/>
  <c r="C112" i="25588"/>
  <c r="C31" i="25588"/>
  <c r="C70" i="25588"/>
  <c r="C59" i="25588"/>
  <c r="C55" i="25588"/>
  <c r="C42" i="25588"/>
  <c r="C90" i="25588"/>
  <c r="E48" i="25588"/>
  <c r="C22" i="25588"/>
  <c r="F80" i="25588"/>
  <c r="C83" i="25588"/>
  <c r="G40" i="25588"/>
  <c r="C56" i="25588"/>
  <c r="C43" i="25588"/>
  <c r="C11" i="25588"/>
  <c r="D40" i="25588"/>
  <c r="C71" i="25588"/>
  <c r="G56" i="25588"/>
  <c r="C107" i="25588"/>
  <c r="C29" i="25588"/>
  <c r="C39" i="25588"/>
  <c r="C19" i="25588"/>
  <c r="C46" i="25588"/>
  <c r="F28" i="25588"/>
  <c r="C57" i="25588"/>
  <c r="C92" i="25588"/>
  <c r="C67" i="25588"/>
  <c r="C23" i="25588"/>
  <c r="E32" i="25588"/>
  <c r="F60" i="25588"/>
  <c r="D66" i="25588"/>
  <c r="E73" i="25588"/>
  <c r="C64" i="25588"/>
  <c r="C49" i="25588"/>
  <c r="D33" i="25588"/>
  <c r="C60" i="25588"/>
  <c r="C79" i="25588"/>
  <c r="C91" i="25588"/>
  <c r="C105" i="25588"/>
  <c r="C82" i="25588"/>
  <c r="C66" i="25588"/>
  <c r="C108" i="25588"/>
  <c r="C21" i="25588"/>
  <c r="C54" i="25588"/>
  <c r="F92" i="25588"/>
  <c r="F76" i="25588"/>
  <c r="C33" i="25588"/>
  <c r="C51" i="25588"/>
  <c r="C68" i="25588"/>
  <c r="C85" i="25588"/>
  <c r="C14" i="25588"/>
  <c r="G48" i="25588"/>
  <c r="F88" i="25588"/>
  <c r="E104" i="25588"/>
  <c r="D32" i="25588"/>
  <c r="C61" i="25588"/>
  <c r="C16" i="25588"/>
  <c r="C15" i="25588"/>
  <c r="D43" i="25588"/>
  <c r="C26" i="25588"/>
  <c r="D64" i="25588"/>
  <c r="C27" i="25588"/>
  <c r="C37" i="25588"/>
  <c r="C47" i="25588"/>
  <c r="C69" i="25588"/>
  <c r="F48" i="25588"/>
  <c r="G32" i="25588"/>
  <c r="C98" i="25588"/>
  <c r="C75" i="25588"/>
  <c r="C34" i="25588"/>
  <c r="E12" i="25588"/>
  <c r="C20" i="25588"/>
  <c r="E36" i="25588"/>
  <c r="F56" i="25588"/>
  <c r="D77" i="25588"/>
  <c r="C78" i="25588"/>
  <c r="C77" i="25588"/>
  <c r="C100" i="25588"/>
  <c r="C89" i="25588"/>
  <c r="C24" i="25588"/>
  <c r="C25" i="25588"/>
  <c r="D49" i="25588"/>
  <c r="C106" i="25588"/>
  <c r="C110" i="25588"/>
  <c r="C109" i="25588"/>
  <c r="C41" i="25588"/>
  <c r="E24" i="25588"/>
  <c r="F52" i="25588"/>
  <c r="E40" i="25588"/>
  <c r="C45" i="25588"/>
  <c r="C84" i="25588"/>
  <c r="C13" i="25588"/>
  <c r="C97" i="25588"/>
  <c r="C86" i="25588"/>
  <c r="C76" i="25588"/>
  <c r="C48" i="25588"/>
  <c r="C53" i="25588"/>
  <c r="C94" i="25588"/>
  <c r="C17" i="25588"/>
  <c r="C30" i="25588"/>
  <c r="C8" i="25588"/>
  <c r="D9" i="25588"/>
  <c r="C10" i="25588"/>
  <c r="E56" i="25588"/>
  <c r="D78" i="25588"/>
  <c r="E110" i="25588"/>
  <c r="G37" i="25590"/>
  <c r="E83" i="25590"/>
  <c r="C83" i="25590"/>
  <c r="F25" i="25590"/>
  <c r="E91" i="25590"/>
  <c r="F95" i="25590"/>
  <c r="D13" i="25590"/>
  <c r="D14" i="25590"/>
  <c r="C76" i="25590"/>
  <c r="G84" i="25590"/>
  <c r="C13" i="25590"/>
  <c r="C59" i="25590"/>
  <c r="G83" i="25590"/>
  <c r="G99" i="25590"/>
  <c r="F99" i="25590"/>
  <c r="F44" i="25590"/>
  <c r="D52" i="25590"/>
  <c r="C91" i="25590"/>
  <c r="E21" i="25590"/>
  <c r="E51" i="25590"/>
  <c r="D44" i="25590"/>
  <c r="E23" i="25590"/>
  <c r="C38" i="25590"/>
  <c r="D101" i="25590"/>
  <c r="C51" i="25590"/>
  <c r="F111" i="25590"/>
  <c r="F51" i="25590"/>
  <c r="F83" i="25590"/>
  <c r="F67" i="25590"/>
  <c r="D30" i="25590"/>
  <c r="D51" i="25590"/>
  <c r="E59" i="25590"/>
  <c r="C36" i="25590"/>
  <c r="F48" i="25590"/>
  <c r="G67" i="25590"/>
  <c r="C75" i="25590"/>
  <c r="C29" i="25590"/>
  <c r="D21" i="25590"/>
  <c r="D22" i="25590"/>
  <c r="D9" i="25590"/>
  <c r="D111" i="25590"/>
  <c r="C67" i="25590"/>
  <c r="F41" i="25590"/>
  <c r="C21" i="25590"/>
  <c r="G44" i="25590"/>
  <c r="F107" i="25590"/>
  <c r="F71" i="25590"/>
  <c r="D29" i="25590"/>
  <c r="C44" i="25590"/>
  <c r="E67" i="25590"/>
  <c r="F79" i="25590"/>
  <c r="D107" i="25590"/>
  <c r="F56" i="25590"/>
  <c r="C107" i="25590"/>
  <c r="D59" i="25590"/>
  <c r="D36" i="25590"/>
  <c r="F75" i="25590"/>
  <c r="F87" i="25590"/>
  <c r="G59" i="25590"/>
  <c r="G75" i="25590"/>
  <c r="D75" i="25590"/>
  <c r="D91" i="25590"/>
  <c r="F110" i="25590"/>
  <c r="G106" i="25590"/>
  <c r="F49" i="25587"/>
  <c r="E44" i="25587"/>
  <c r="C37" i="25587"/>
  <c r="C12" i="25587"/>
  <c r="F40" i="25587"/>
  <c r="E37" i="25587"/>
  <c r="F23" i="25587"/>
  <c r="D19" i="25587"/>
  <c r="D28" i="25587"/>
  <c r="D34" i="25587"/>
  <c r="D12" i="25587"/>
  <c r="C34" i="25587"/>
  <c r="C11" i="25587"/>
  <c r="C14" i="25587"/>
  <c r="C30" i="25587"/>
  <c r="D50" i="25587"/>
  <c r="E34" i="25587"/>
  <c r="F27" i="25587"/>
  <c r="C50" i="25587"/>
  <c r="E16" i="25587"/>
  <c r="D18" i="25587"/>
  <c r="F25" i="25587"/>
  <c r="F39" i="25587"/>
  <c r="F28" i="25586"/>
  <c r="F20" i="25586"/>
  <c r="E42" i="25586"/>
  <c r="G52" i="25586"/>
  <c r="F40" i="25586"/>
  <c r="E28" i="25586"/>
  <c r="D48" i="25586"/>
  <c r="C20" i="25586"/>
  <c r="D28" i="25586"/>
  <c r="C42" i="25586"/>
  <c r="F50" i="25586"/>
  <c r="C28" i="25586"/>
  <c r="D21" i="25586"/>
  <c r="G50" i="25586"/>
  <c r="F32" i="25586"/>
  <c r="D43" i="25586"/>
  <c r="D50" i="25586"/>
  <c r="D29" i="25586"/>
  <c r="E50" i="25586"/>
  <c r="G42" i="25586"/>
  <c r="C50" i="25586"/>
  <c r="E20" i="25586"/>
  <c r="G37" i="25586"/>
  <c r="F25" i="25586"/>
  <c r="C13" i="25586"/>
  <c r="F42" i="25586"/>
  <c r="D20" i="25586"/>
  <c r="E13" i="25586"/>
  <c r="D14" i="25586"/>
  <c r="G44" i="25586"/>
  <c r="E112" i="25590"/>
  <c r="E68" i="25590"/>
  <c r="E65" i="25588"/>
  <c r="E110" i="25590"/>
  <c r="E44" i="25588"/>
  <c r="C28" i="25588"/>
  <c r="F24" i="25588"/>
  <c r="C50" i="25588"/>
  <c r="C9" i="25590"/>
  <c r="F96" i="25588"/>
  <c r="G69" i="25590"/>
  <c r="E37" i="25590"/>
  <c r="D56" i="25588"/>
  <c r="G44" i="25588"/>
  <c r="E70" i="25588"/>
  <c r="C12" i="25588"/>
  <c r="D69" i="25590"/>
  <c r="F20" i="25588"/>
  <c r="F58" i="25588"/>
  <c r="F32" i="25588"/>
  <c r="E109" i="25590"/>
  <c r="F38" i="25590"/>
  <c r="E50" i="25588"/>
  <c r="D81" i="25588"/>
  <c r="F85" i="25588"/>
  <c r="C73" i="25588"/>
  <c r="G58" i="25588"/>
  <c r="F102" i="25590"/>
  <c r="F112" i="25588"/>
  <c r="F57" i="25590"/>
  <c r="G36" i="25588"/>
  <c r="F50" i="25590"/>
  <c r="F62" i="25588"/>
  <c r="G104" i="25588"/>
  <c r="G50" i="25588"/>
  <c r="G60" i="25588"/>
  <c r="C60" i="25590"/>
  <c r="D21" i="25588"/>
  <c r="C88" i="25588"/>
  <c r="C58" i="25588"/>
  <c r="C90" i="25590"/>
  <c r="C106" i="25590"/>
  <c r="C52" i="25590"/>
  <c r="E107" i="25590"/>
  <c r="D18" i="25590"/>
  <c r="E38" i="25590"/>
  <c r="D106" i="25590"/>
  <c r="G80" i="25588"/>
  <c r="G73" i="25588"/>
  <c r="G74" i="25588"/>
  <c r="G52" i="25590"/>
  <c r="D37" i="25588"/>
  <c r="D51" i="25588"/>
  <c r="F40" i="25588"/>
  <c r="F88" i="25590"/>
  <c r="D13" i="25588"/>
  <c r="C10" i="25590"/>
  <c r="E18" i="25590"/>
  <c r="E69" i="25590"/>
  <c r="D85" i="25590"/>
  <c r="E59" i="25588"/>
  <c r="D74" i="25588"/>
  <c r="E63" i="25588"/>
  <c r="F36" i="25588"/>
  <c r="D60" i="25590"/>
  <c r="G112" i="25588"/>
  <c r="E96" i="25588"/>
  <c r="E66" i="25588"/>
  <c r="E62" i="25588"/>
  <c r="C17" i="25590"/>
  <c r="G100" i="25590"/>
  <c r="D39" i="25590"/>
  <c r="D50" i="25588"/>
  <c r="F73" i="25588"/>
  <c r="D84" i="25590"/>
  <c r="G108" i="25590"/>
  <c r="E112" i="25588"/>
  <c r="D76" i="25590"/>
  <c r="E47" i="25590"/>
  <c r="E54" i="25590"/>
  <c r="F100" i="25590"/>
  <c r="F30" i="25588"/>
  <c r="E38" i="25588"/>
  <c r="D45" i="25590"/>
  <c r="E108" i="25590"/>
  <c r="D90" i="25590"/>
  <c r="D36" i="25588"/>
  <c r="G60" i="25590"/>
  <c r="G88" i="25588"/>
  <c r="G82" i="25588"/>
  <c r="E67" i="25588"/>
  <c r="E60" i="25588"/>
  <c r="C45" i="25590"/>
  <c r="E106" i="25590"/>
  <c r="D53" i="25590"/>
  <c r="E76" i="25590"/>
  <c r="E98" i="25590"/>
  <c r="E90" i="25590"/>
  <c r="E28" i="25588"/>
  <c r="F45" i="25590"/>
  <c r="G45" i="25590"/>
  <c r="G52" i="25588"/>
  <c r="E84" i="25590"/>
  <c r="E63" i="25590"/>
  <c r="E64" i="25588"/>
  <c r="G90" i="25590"/>
  <c r="C96" i="25588"/>
  <c r="C104" i="25588"/>
  <c r="F60" i="25590"/>
  <c r="F65" i="25588"/>
  <c r="F100" i="25588"/>
  <c r="F70" i="25588"/>
  <c r="E58" i="25588"/>
  <c r="F44" i="25588"/>
  <c r="E111" i="25590"/>
  <c r="E52" i="25590"/>
  <c r="D17" i="25590"/>
  <c r="G76" i="25590"/>
  <c r="G38" i="25590"/>
  <c r="D38" i="25590"/>
  <c r="E80" i="25588"/>
  <c r="G92" i="25590"/>
  <c r="E17" i="25590"/>
  <c r="C36" i="25588"/>
  <c r="E35" i="25590"/>
  <c r="D24" i="25588"/>
  <c r="C44" i="25588"/>
  <c r="C80" i="25588"/>
  <c r="G68" i="25590"/>
  <c r="E60" i="25590"/>
  <c r="E68" i="25588"/>
  <c r="G41" i="25590"/>
  <c r="F68" i="25590"/>
  <c r="D12" i="25588"/>
  <c r="G97" i="25588"/>
  <c r="E61" i="25588"/>
  <c r="G96" i="25588"/>
  <c r="C68" i="25590"/>
  <c r="G127" i="32"/>
  <c r="C127" i="32"/>
  <c r="D88" i="32"/>
  <c r="D104" i="25588"/>
  <c r="F37" i="25587"/>
  <c r="D104" i="2316"/>
  <c r="E154" i="2316"/>
  <c r="D98" i="25590"/>
  <c r="D99" i="25590"/>
  <c r="G65" i="25588"/>
  <c r="D96" i="25588"/>
  <c r="C87" i="25588"/>
  <c r="G71" i="25580"/>
  <c r="C78" i="25580"/>
  <c r="C91" i="768"/>
  <c r="F88" i="20994"/>
  <c r="F73" i="9216"/>
  <c r="E143" i="9216"/>
  <c r="C73" i="9216"/>
  <c r="E77" i="1024"/>
  <c r="G72" i="25588"/>
  <c r="F133" i="3584"/>
  <c r="E81" i="32"/>
  <c r="C140" i="32"/>
  <c r="D141" i="32"/>
  <c r="E143" i="3584"/>
  <c r="G140" i="3584"/>
  <c r="G64" i="25580"/>
  <c r="E95" i="20994"/>
  <c r="E70" i="1024"/>
  <c r="E75" i="1024"/>
  <c r="G135" i="2316"/>
  <c r="G145" i="3584"/>
  <c r="F143" i="9216"/>
  <c r="E74" i="1024"/>
  <c r="F114" i="768"/>
  <c r="D146" i="768"/>
  <c r="E146" i="768"/>
  <c r="C146" i="768"/>
  <c r="G148" i="20994"/>
  <c r="G95" i="25588"/>
  <c r="G98" i="25590"/>
  <c r="D12" i="25586"/>
  <c r="G111" i="25588"/>
  <c r="G121" i="3584"/>
  <c r="D65" i="25580"/>
  <c r="G86" i="25580"/>
  <c r="F91" i="768"/>
  <c r="G144" i="768"/>
  <c r="G120" i="768"/>
  <c r="F85" i="9216"/>
  <c r="G105" i="32"/>
  <c r="E88" i="32"/>
  <c r="E148" i="2316"/>
  <c r="F116" i="2316"/>
  <c r="F111" i="2316"/>
  <c r="E150" i="2316"/>
  <c r="E104" i="2316"/>
  <c r="D103" i="25588"/>
  <c r="G78" i="25580"/>
  <c r="F107" i="20994"/>
  <c r="E73" i="9216"/>
  <c r="E76" i="1024"/>
  <c r="E152" i="1024"/>
  <c r="G81" i="32"/>
  <c r="D143" i="2316"/>
  <c r="E26" i="25587"/>
  <c r="F142" i="3584"/>
  <c r="C140" i="3584"/>
  <c r="F86" i="25580"/>
  <c r="G110" i="25580"/>
  <c r="C86" i="25580"/>
  <c r="C95" i="20994"/>
  <c r="F155" i="9216"/>
  <c r="E71" i="1024"/>
  <c r="E73" i="1024"/>
  <c r="C111" i="2316"/>
  <c r="D71" i="3584"/>
  <c r="F83" i="3584"/>
  <c r="G115" i="768"/>
  <c r="D116" i="768"/>
  <c r="E122" i="32"/>
  <c r="F122" i="32"/>
  <c r="F134" i="32"/>
  <c r="E70" i="25590"/>
  <c r="E78" i="25590"/>
  <c r="D151" i="25580"/>
  <c r="F150" i="25580"/>
  <c r="E150" i="25580"/>
  <c r="F87" i="25588"/>
  <c r="D25" i="25590"/>
  <c r="F111" i="25588"/>
  <c r="F99" i="25588"/>
  <c r="C103" i="25588"/>
  <c r="D88" i="25588"/>
  <c r="D78" i="25580"/>
  <c r="G153" i="25580"/>
  <c r="E91" i="768"/>
  <c r="D95" i="20994"/>
  <c r="D74" i="9216"/>
  <c r="G151" i="32"/>
  <c r="E147" i="2316"/>
  <c r="F36" i="25590"/>
  <c r="D25" i="25587"/>
  <c r="E111" i="25588"/>
  <c r="E86" i="3584"/>
  <c r="E153" i="25580"/>
  <c r="F146" i="20994"/>
  <c r="E80" i="1024"/>
  <c r="F24" i="25586"/>
  <c r="C121" i="3584"/>
  <c r="D122" i="3584"/>
  <c r="E29" i="25582" s="1"/>
  <c r="E153" i="3584"/>
  <c r="F64" i="25580"/>
  <c r="E86" i="25580"/>
  <c r="G70" i="1024"/>
  <c r="C152" i="1024"/>
  <c r="E153" i="2316"/>
  <c r="E111" i="2316"/>
  <c r="D143" i="3584"/>
  <c r="F95" i="20994"/>
  <c r="G143" i="9216"/>
  <c r="E151" i="20994"/>
  <c r="D153" i="1024"/>
  <c r="F133" i="20994"/>
  <c r="G145" i="20994"/>
  <c r="E107" i="32"/>
  <c r="E83" i="2316"/>
  <c r="C83" i="2316"/>
  <c r="D84" i="2316"/>
  <c r="D132" i="3584"/>
  <c r="E132" i="3584"/>
  <c r="F144" i="3584"/>
  <c r="E29" i="25587"/>
  <c r="D17" i="25587"/>
  <c r="E17" i="25587"/>
  <c r="C81" i="32"/>
  <c r="E19" i="25587"/>
  <c r="F76" i="25580"/>
  <c r="G88" i="25580"/>
  <c r="E64" i="25580"/>
  <c r="E95" i="25588"/>
  <c r="F98" i="25590"/>
  <c r="D95" i="25588"/>
  <c r="C24" i="25590"/>
  <c r="G103" i="25588"/>
  <c r="D65" i="25588"/>
  <c r="E121" i="3584"/>
  <c r="D71" i="25580"/>
  <c r="F78" i="25580"/>
  <c r="E134" i="20994"/>
  <c r="D151" i="20994"/>
  <c r="D143" i="9216"/>
  <c r="D71" i="1024"/>
  <c r="F100" i="32"/>
  <c r="F127" i="32"/>
  <c r="F93" i="32"/>
  <c r="D112" i="2316"/>
  <c r="E152" i="2316"/>
  <c r="G128" i="2316"/>
  <c r="E20" i="25587"/>
  <c r="E72" i="25588"/>
  <c r="F84" i="25588"/>
  <c r="E24" i="25590"/>
  <c r="E140" i="3584"/>
  <c r="F153" i="25580"/>
  <c r="C153" i="25580"/>
  <c r="D96" i="20994"/>
  <c r="F151" i="20994"/>
  <c r="D135" i="20994"/>
  <c r="G151" i="20994"/>
  <c r="D152" i="20994"/>
  <c r="E142" i="2316"/>
  <c r="C12" i="25586"/>
  <c r="E22" i="25587"/>
  <c r="D144" i="9216"/>
  <c r="F139" i="32"/>
  <c r="F123" i="2316"/>
  <c r="E12" i="25586"/>
  <c r="G63" i="20994"/>
  <c r="E63" i="20994"/>
  <c r="C70" i="20994"/>
  <c r="F70" i="20994"/>
  <c r="C120" i="768"/>
  <c r="D120" i="768"/>
  <c r="G152" i="1024"/>
  <c r="C111" i="25588"/>
  <c r="D112" i="25588"/>
  <c r="E27" i="25587"/>
  <c r="D88" i="20994"/>
  <c r="C95" i="25588"/>
  <c r="C98" i="25590"/>
  <c r="D26" i="25587"/>
  <c r="F24" i="25590"/>
  <c r="E149" i="3584"/>
  <c r="C71" i="25580"/>
  <c r="F132" i="768"/>
  <c r="F134" i="20994"/>
  <c r="D73" i="9216"/>
  <c r="F82" i="1024"/>
  <c r="F140" i="32"/>
  <c r="G88" i="32"/>
  <c r="E151" i="2316"/>
  <c r="E146" i="2316"/>
  <c r="E25" i="25587"/>
  <c r="G48" i="25590"/>
  <c r="D140" i="3584"/>
  <c r="G150" i="25580"/>
  <c r="E79" i="1024"/>
  <c r="G112" i="32"/>
  <c r="D111" i="2316"/>
  <c r="D105" i="2316"/>
  <c r="D72" i="25588"/>
  <c r="D100" i="3584"/>
  <c r="F99" i="3584"/>
  <c r="E145" i="3584"/>
  <c r="C142" i="3584"/>
  <c r="G123" i="3584"/>
  <c r="F71" i="3584"/>
  <c r="E61" i="768"/>
  <c r="F61" i="768"/>
  <c r="E115" i="20994"/>
  <c r="F63" i="2316"/>
  <c r="E63" i="2316"/>
  <c r="C63" i="2316"/>
  <c r="C129" i="768"/>
  <c r="D130" i="768"/>
  <c r="M33" i="25582" s="1"/>
  <c r="F60" i="9216"/>
  <c r="G60" i="9216"/>
  <c r="C135" i="768"/>
  <c r="E135" i="768"/>
  <c r="G135" i="768"/>
  <c r="C43" i="25587"/>
  <c r="D43" i="25587"/>
  <c r="F55" i="25587"/>
  <c r="E159" i="32"/>
  <c r="E154" i="32"/>
  <c r="C154" i="32"/>
  <c r="F154" i="32"/>
  <c r="D81" i="32"/>
  <c r="G73" i="9216"/>
  <c r="D87" i="3584"/>
  <c r="C86" i="3584"/>
  <c r="C65" i="25588"/>
  <c r="C72" i="25588"/>
  <c r="F29" i="25587"/>
  <c r="E23" i="25587"/>
  <c r="G89" i="25588"/>
  <c r="F77" i="25588"/>
  <c r="E103" i="25588"/>
  <c r="G87" i="25588"/>
  <c r="E151" i="3584"/>
  <c r="D121" i="768"/>
  <c r="G112" i="20994"/>
  <c r="G88" i="20994"/>
  <c r="G94" i="1024"/>
  <c r="E81" i="1024"/>
  <c r="C142" i="2316"/>
  <c r="G86" i="3584"/>
  <c r="F120" i="768"/>
  <c r="G119" i="20994"/>
  <c r="E82" i="1024"/>
  <c r="G142" i="2316"/>
  <c r="D24" i="25590"/>
  <c r="E147" i="3584"/>
  <c r="D121" i="3584"/>
  <c r="F111" i="3584"/>
  <c r="D99" i="3584"/>
  <c r="F100" i="20994"/>
  <c r="E142" i="3584"/>
  <c r="D72" i="25580"/>
  <c r="C92" i="25580"/>
  <c r="E92" i="25580"/>
  <c r="E127" i="768"/>
  <c r="C109" i="20994"/>
  <c r="C94" i="32"/>
  <c r="E104" i="32"/>
  <c r="E118" i="2316"/>
  <c r="F125" i="2316"/>
  <c r="C125" i="2316"/>
  <c r="D125" i="2316"/>
  <c r="F101" i="25580"/>
  <c r="G87" i="768"/>
  <c r="C92" i="768"/>
  <c r="F103" i="768"/>
  <c r="E109" i="768"/>
  <c r="F101" i="32"/>
  <c r="F108" i="32"/>
  <c r="E18" i="25587"/>
  <c r="D35" i="25587"/>
  <c r="C38" i="25586"/>
  <c r="D150" i="25580"/>
  <c r="G151" i="9216"/>
  <c r="E19" i="25590"/>
  <c r="D92" i="25590"/>
  <c r="E18" i="25588"/>
  <c r="F31" i="25588"/>
  <c r="G88" i="3584"/>
  <c r="F71" i="25580"/>
  <c r="E104" i="768"/>
  <c r="F123" i="20994"/>
  <c r="G83" i="1024"/>
  <c r="C124" i="32"/>
  <c r="D135" i="3584"/>
  <c r="C14" i="25586"/>
  <c r="G123" i="9216"/>
  <c r="C19" i="25587"/>
  <c r="C27" i="25587"/>
  <c r="D136" i="3584"/>
  <c r="D38" i="25587"/>
  <c r="E33" i="25590"/>
  <c r="G93" i="25590"/>
  <c r="C55" i="25587"/>
  <c r="C159" i="20994"/>
  <c r="C159" i="9216"/>
  <c r="F101" i="3584"/>
  <c r="E115" i="3584"/>
  <c r="F81" i="768"/>
  <c r="G122" i="768"/>
  <c r="F109" i="20994"/>
  <c r="C97" i="32"/>
  <c r="G103" i="32"/>
  <c r="E122" i="9216"/>
  <c r="D72" i="9216"/>
  <c r="D9" i="25587"/>
  <c r="F47" i="25587"/>
  <c r="E49" i="25586"/>
  <c r="E50" i="25587"/>
  <c r="D94" i="25590"/>
  <c r="F106" i="25590"/>
  <c r="G67" i="25588"/>
  <c r="D82" i="25588"/>
  <c r="F106" i="25588"/>
  <c r="E112" i="3584"/>
  <c r="E124" i="3584"/>
  <c r="G96" i="25580"/>
  <c r="D61" i="20994"/>
  <c r="E79" i="20994"/>
  <c r="F100" i="2316"/>
  <c r="F129" i="2316"/>
  <c r="E133" i="768"/>
  <c r="C134" i="25580"/>
  <c r="E72" i="9216"/>
  <c r="C9" i="25587"/>
  <c r="G159" i="1024"/>
  <c r="D139" i="2316"/>
  <c r="F21" i="25590"/>
  <c r="E87" i="25590"/>
  <c r="D108" i="25590"/>
  <c r="E49" i="25588"/>
  <c r="G99" i="25588"/>
  <c r="G107" i="25588"/>
  <c r="D154" i="20994"/>
  <c r="F74" i="3584"/>
  <c r="E69" i="3584"/>
  <c r="G96" i="3584"/>
  <c r="C107" i="3584"/>
  <c r="F118" i="3584"/>
  <c r="F97" i="25580"/>
  <c r="E119" i="25580"/>
  <c r="F83" i="768"/>
  <c r="G100" i="768"/>
  <c r="E124" i="768"/>
  <c r="D80" i="20994"/>
  <c r="E86" i="20994"/>
  <c r="G137" i="20994"/>
  <c r="D122" i="1024"/>
  <c r="G149" i="32"/>
  <c r="C116" i="2316"/>
  <c r="E120" i="9216"/>
  <c r="G138" i="9216"/>
  <c r="D45" i="25586"/>
  <c r="F149" i="20994"/>
  <c r="E15" i="25590"/>
  <c r="D96" i="25590"/>
  <c r="G51" i="25586"/>
  <c r="D29" i="25588"/>
  <c r="C35" i="25588"/>
  <c r="D63" i="25588"/>
  <c r="D84" i="25588"/>
  <c r="D158" i="20994"/>
  <c r="D159" i="32"/>
  <c r="G92" i="3584"/>
  <c r="G113" i="3584"/>
  <c r="F91" i="25580"/>
  <c r="G98" i="25580"/>
  <c r="E128" i="25580"/>
  <c r="F74" i="20994"/>
  <c r="C120" i="20994"/>
  <c r="D126" i="20994"/>
  <c r="G91" i="32"/>
  <c r="F99" i="32"/>
  <c r="D126" i="32"/>
  <c r="E25" i="25586"/>
  <c r="G133" i="9216"/>
  <c r="D23" i="25587"/>
  <c r="D138" i="1024"/>
  <c r="E144" i="20994"/>
  <c r="F147" i="1024"/>
  <c r="D149" i="9216"/>
  <c r="F89" i="25590"/>
  <c r="D51" i="25587"/>
  <c r="E108" i="3584"/>
  <c r="F120" i="3584"/>
  <c r="D78" i="768"/>
  <c r="G103" i="2316"/>
  <c r="D67" i="9216"/>
  <c r="E24" i="25587"/>
  <c r="G35" i="25586"/>
  <c r="D138" i="32"/>
  <c r="D140" i="1024"/>
  <c r="D41" i="25587"/>
  <c r="E143" i="20994"/>
  <c r="F44" i="25587"/>
  <c r="F46" i="25587"/>
  <c r="E48" i="25587"/>
  <c r="E31" i="25590"/>
  <c r="G62" i="25590"/>
  <c r="F90" i="25590"/>
  <c r="D104" i="25590"/>
  <c r="D23" i="25588"/>
  <c r="D45" i="25588"/>
  <c r="D58" i="25588"/>
  <c r="G71" i="25588"/>
  <c r="D86" i="25588"/>
  <c r="D25" i="10285"/>
  <c r="E24" i="10285"/>
  <c r="F24" i="10285"/>
  <c r="F36" i="10285"/>
  <c r="F110" i="1024"/>
  <c r="D24" i="10285"/>
  <c r="F48" i="10285"/>
  <c r="G48" i="10285"/>
  <c r="F34" i="10285"/>
  <c r="E35" i="10285"/>
  <c r="E34" i="10285"/>
  <c r="D34" i="10285"/>
  <c r="E40" i="10285"/>
  <c r="D35" i="10285"/>
  <c r="E36" i="10285"/>
  <c r="F35" i="10285"/>
  <c r="G47" i="10285"/>
  <c r="D23" i="10285"/>
  <c r="E23" i="10285"/>
  <c r="G138" i="3584"/>
  <c r="D89" i="20994"/>
  <c r="D90" i="20994"/>
  <c r="G69" i="25580"/>
  <c r="F126" i="3584"/>
  <c r="G34" i="10285"/>
  <c r="E45" i="10285"/>
  <c r="F46" i="10285"/>
  <c r="F86" i="3584"/>
  <c r="G106" i="25580"/>
  <c r="G130" i="25580"/>
  <c r="C97" i="10285"/>
  <c r="C105" i="10285"/>
  <c r="C119" i="10285"/>
  <c r="C126" i="10285"/>
  <c r="F80" i="768"/>
  <c r="F23" i="10285"/>
  <c r="C160" i="10285"/>
  <c r="C144" i="10285"/>
  <c r="C143" i="10285"/>
  <c r="C138" i="10285"/>
  <c r="C156" i="10285"/>
  <c r="C155" i="10285"/>
  <c r="C134" i="10285"/>
  <c r="C59" i="10285"/>
  <c r="C122" i="10285"/>
  <c r="C114" i="10285"/>
  <c r="C102" i="10285"/>
  <c r="C88" i="10285"/>
  <c r="C83" i="10285"/>
  <c r="C79" i="10285"/>
  <c r="C76" i="10285"/>
  <c r="C72" i="10285"/>
  <c r="C130" i="10285"/>
  <c r="C121" i="10285"/>
  <c r="C117" i="10285"/>
  <c r="C108" i="10285"/>
  <c r="C78" i="10285"/>
  <c r="C57" i="10285"/>
  <c r="C55" i="10285"/>
  <c r="C125" i="10285"/>
  <c r="C112" i="10285"/>
  <c r="C100" i="10285"/>
  <c r="C96" i="10285"/>
  <c r="C82" i="10285"/>
  <c r="C75" i="10285"/>
  <c r="C63" i="10285"/>
  <c r="C128" i="10285"/>
  <c r="C95" i="10285"/>
  <c r="C85" i="10285"/>
  <c r="C81" i="10285"/>
  <c r="C77" i="10285"/>
  <c r="C62" i="10285"/>
  <c r="G39" i="10285"/>
  <c r="F51" i="10285"/>
  <c r="D39" i="10285"/>
  <c r="D110" i="3584"/>
  <c r="F115" i="3584"/>
  <c r="C69" i="10285"/>
  <c r="C98" i="10285"/>
  <c r="C106" i="10285"/>
  <c r="C120" i="10285"/>
  <c r="C127" i="10285"/>
  <c r="F64" i="768"/>
  <c r="C64" i="768"/>
  <c r="D64" i="768"/>
  <c r="F84" i="20994"/>
  <c r="E109" i="1024"/>
  <c r="E117" i="1024"/>
  <c r="G130" i="3584"/>
  <c r="E130" i="3584"/>
  <c r="E42" i="10285"/>
  <c r="C91" i="10285"/>
  <c r="D98" i="20994"/>
  <c r="D99" i="20994"/>
  <c r="F79" i="1024"/>
  <c r="E67" i="1024"/>
  <c r="E127" i="32"/>
  <c r="D40" i="10285"/>
  <c r="E39" i="10285"/>
  <c r="G44" i="10285"/>
  <c r="D44" i="10285"/>
  <c r="E37" i="10285"/>
  <c r="D15" i="10285"/>
  <c r="D14" i="10285"/>
  <c r="E14" i="10285"/>
  <c r="D9" i="25583"/>
  <c r="B17" i="25583"/>
  <c r="D102" i="25580"/>
  <c r="C107" i="10285"/>
  <c r="C115" i="10285"/>
  <c r="C129" i="10285"/>
  <c r="E105" i="1024"/>
  <c r="E100" i="1024"/>
  <c r="N28" i="25582"/>
  <c r="C123" i="10285"/>
  <c r="D127" i="32"/>
  <c r="E46" i="10285"/>
  <c r="F39" i="10285"/>
  <c r="N7" i="25582"/>
  <c r="D50" i="10285"/>
  <c r="D51" i="10285"/>
  <c r="F50" i="10285"/>
  <c r="E50" i="10285"/>
  <c r="G36" i="10285"/>
  <c r="D13" i="10285"/>
  <c r="E12" i="10285"/>
  <c r="F79" i="3584"/>
  <c r="D80" i="3584"/>
  <c r="C65" i="10285"/>
  <c r="C94" i="10285"/>
  <c r="C109" i="10285"/>
  <c r="C116" i="10285"/>
  <c r="G96" i="768"/>
  <c r="F108" i="20994"/>
  <c r="E108" i="20994"/>
  <c r="F88" i="3584"/>
  <c r="D124" i="3584"/>
  <c r="D63" i="768"/>
  <c r="E83" i="768"/>
  <c r="F107" i="768"/>
  <c r="E123" i="1024"/>
  <c r="C133" i="10285"/>
  <c r="F26" i="25586"/>
  <c r="C26" i="25586"/>
  <c r="C154" i="10285"/>
  <c r="D40" i="4888"/>
  <c r="G66" i="3584"/>
  <c r="E70" i="3584"/>
  <c r="C88" i="3584"/>
  <c r="D98" i="3584"/>
  <c r="G101" i="3584"/>
  <c r="D59" i="25580"/>
  <c r="C66" i="10285"/>
  <c r="C70" i="10285"/>
  <c r="F68" i="20994"/>
  <c r="F105" i="20994"/>
  <c r="F136" i="20994"/>
  <c r="G78" i="1024"/>
  <c r="G124" i="1024"/>
  <c r="C139" i="10285"/>
  <c r="C148" i="10285"/>
  <c r="E139" i="3584"/>
  <c r="C39" i="4888"/>
  <c r="C71" i="3584"/>
  <c r="F85" i="3584"/>
  <c r="D93" i="3584"/>
  <c r="F98" i="3584"/>
  <c r="F102" i="3584"/>
  <c r="C109" i="3584"/>
  <c r="F125" i="3584"/>
  <c r="G71" i="768"/>
  <c r="C83" i="20994"/>
  <c r="D93" i="20994"/>
  <c r="F96" i="20994"/>
  <c r="F70" i="1024"/>
  <c r="D75" i="1024"/>
  <c r="C61" i="32"/>
  <c r="G101" i="32"/>
  <c r="C89" i="32"/>
  <c r="D99" i="32"/>
  <c r="C78" i="2316"/>
  <c r="G155" i="32"/>
  <c r="C137" i="10285"/>
  <c r="F140" i="768"/>
  <c r="C145" i="10285"/>
  <c r="G146" i="3584"/>
  <c r="C153" i="10285"/>
  <c r="E38" i="10285"/>
  <c r="G78" i="3584"/>
  <c r="C98" i="3584"/>
  <c r="G102" i="3584"/>
  <c r="C93" i="10285"/>
  <c r="E95" i="768"/>
  <c r="G75" i="20994"/>
  <c r="E83" i="20994"/>
  <c r="C92" i="20994"/>
  <c r="C114" i="1024"/>
  <c r="F120" i="1024"/>
  <c r="D84" i="32"/>
  <c r="G62" i="2316"/>
  <c r="F127" i="2316"/>
  <c r="C131" i="10285"/>
  <c r="E136" i="768"/>
  <c r="C140" i="10285"/>
  <c r="F43" i="25586"/>
  <c r="E127" i="1024"/>
  <c r="D120" i="2316"/>
  <c r="C31" i="25586"/>
  <c r="F31" i="25586"/>
  <c r="C142" i="10285"/>
  <c r="C147" i="10285"/>
  <c r="C152" i="10285"/>
  <c r="G67" i="20994"/>
  <c r="F113" i="20994"/>
  <c r="E96" i="1024"/>
  <c r="C88" i="2316"/>
  <c r="G129" i="3584"/>
  <c r="G133" i="3584"/>
  <c r="D134" i="20994"/>
  <c r="C136" i="10285"/>
  <c r="C132" i="32"/>
  <c r="G49" i="25586"/>
  <c r="C123" i="9216"/>
  <c r="F123" i="9216"/>
  <c r="F34" i="25587"/>
  <c r="E136" i="2316"/>
  <c r="D142" i="3584"/>
  <c r="D42" i="25586"/>
  <c r="C44" i="25587"/>
  <c r="D45" i="25587"/>
  <c r="E105" i="25590"/>
  <c r="C9" i="25588"/>
  <c r="E152" i="3584"/>
  <c r="C57" i="25586"/>
  <c r="C102" i="2316"/>
  <c r="E126" i="2316"/>
  <c r="D129" i="32"/>
  <c r="C135" i="10285"/>
  <c r="G36" i="25586"/>
  <c r="G40" i="25586"/>
  <c r="C132" i="9216"/>
  <c r="E87" i="9216"/>
  <c r="E15" i="25587"/>
  <c r="C37" i="25586"/>
  <c r="E46" i="25587"/>
  <c r="D143" i="768"/>
  <c r="G63" i="25590"/>
  <c r="F105" i="25590"/>
  <c r="D17" i="25588"/>
  <c r="G37" i="25588"/>
  <c r="F63" i="25588"/>
  <c r="E57" i="25588"/>
  <c r="D73" i="25588"/>
  <c r="G133" i="768"/>
  <c r="F21" i="25586"/>
  <c r="D10" i="25587"/>
  <c r="C15" i="25587"/>
  <c r="C141" i="10285"/>
  <c r="F54" i="25587"/>
  <c r="C146" i="3584"/>
  <c r="D47" i="25587"/>
  <c r="E20" i="25590"/>
  <c r="G49" i="25590"/>
  <c r="D72" i="25590"/>
  <c r="F34" i="25588"/>
  <c r="E37" i="25588"/>
  <c r="E155" i="32"/>
  <c r="C134" i="768"/>
  <c r="C25" i="25586"/>
  <c r="D13" i="25586"/>
  <c r="D20" i="25587"/>
  <c r="D137" i="1024"/>
  <c r="E144" i="2316"/>
  <c r="D147" i="3584"/>
  <c r="E149" i="25580"/>
  <c r="G40" i="25590"/>
  <c r="E56" i="25590"/>
  <c r="D68" i="25590"/>
  <c r="E17" i="25588"/>
  <c r="E88" i="25588"/>
  <c r="C153" i="32"/>
  <c r="E157" i="32"/>
  <c r="E153" i="1024"/>
  <c r="C146" i="10285"/>
  <c r="D145" i="2316"/>
  <c r="G146" i="32"/>
  <c r="G36" i="25590"/>
  <c r="F29" i="25590"/>
  <c r="F64" i="25590"/>
  <c r="F154" i="2316"/>
  <c r="D156" i="32"/>
  <c r="E156" i="32"/>
  <c r="C58" i="25586"/>
  <c r="E148" i="3584"/>
  <c r="C49" i="25587"/>
  <c r="C54" i="25586"/>
  <c r="E158" i="20994"/>
  <c r="E58" i="25587"/>
  <c r="F133" i="1024"/>
  <c r="E32" i="25586"/>
  <c r="D137" i="32"/>
  <c r="C148" i="20994"/>
  <c r="D28" i="25590"/>
  <c r="C62" i="25588"/>
  <c r="C157" i="10285"/>
  <c r="C15" i="25586"/>
  <c r="C41" i="25586"/>
  <c r="D46" i="25586"/>
  <c r="C96" i="25590"/>
  <c r="C81" i="25588"/>
  <c r="C102" i="25588"/>
  <c r="D58" i="25587"/>
  <c r="C159" i="10285"/>
  <c r="G158" i="32"/>
  <c r="G58" i="25586"/>
  <c r="C58" i="25587"/>
  <c r="E58" i="25586"/>
  <c r="D58" i="25586"/>
  <c r="F58" i="25587"/>
  <c r="E159" i="3584"/>
  <c r="D159" i="3584"/>
  <c r="C159" i="3584"/>
  <c r="F159" i="768"/>
  <c r="D159" i="768"/>
  <c r="C159" i="25580"/>
  <c r="E159" i="9216"/>
  <c r="D159" i="9216"/>
  <c r="F159" i="1024"/>
  <c r="C159" i="32"/>
  <c r="E159" i="1024"/>
  <c r="D159" i="1024"/>
  <c r="C159" i="1024"/>
  <c r="C159" i="2316"/>
  <c r="G109" i="25587" l="1"/>
  <c r="G108" i="25587"/>
  <c r="G107" i="25587"/>
  <c r="G196" i="10285"/>
  <c r="F196" i="10285"/>
  <c r="D196" i="10285"/>
  <c r="F207" i="10285"/>
  <c r="G106" i="25587"/>
  <c r="G105" i="25587"/>
  <c r="D195" i="10285"/>
  <c r="F206" i="10285"/>
  <c r="G104" i="25587"/>
  <c r="G103" i="25587"/>
  <c r="F200" i="10285"/>
  <c r="G200" i="10285"/>
  <c r="F173" i="10285"/>
  <c r="F198" i="10285"/>
  <c r="F99" i="10285"/>
  <c r="F199" i="10285"/>
  <c r="G102" i="25587"/>
  <c r="G195" i="10285"/>
  <c r="F202" i="10285"/>
  <c r="F195" i="10285"/>
  <c r="F203" i="10285"/>
  <c r="E203" i="10285"/>
  <c r="F197" i="10285"/>
  <c r="D200" i="10285"/>
  <c r="G202" i="10285"/>
  <c r="G101" i="25587"/>
  <c r="D202" i="10285"/>
  <c r="D201" i="10285"/>
  <c r="E17" i="4888"/>
  <c r="E15" i="4888"/>
  <c r="D35" i="4888"/>
  <c r="G66" i="4888"/>
  <c r="D199" i="10285"/>
  <c r="D198" i="10285"/>
  <c r="D10" i="4888"/>
  <c r="C35" i="4888"/>
  <c r="E58" i="10285"/>
  <c r="F35" i="4888"/>
  <c r="F47" i="4888"/>
  <c r="C66" i="4888"/>
  <c r="G197" i="10285"/>
  <c r="G201" i="10285"/>
  <c r="F201" i="10285"/>
  <c r="D197" i="10285"/>
  <c r="E201" i="10285"/>
  <c r="E202" i="10285"/>
  <c r="G100" i="25587"/>
  <c r="G99" i="25587"/>
  <c r="G98" i="25587"/>
  <c r="E199" i="10285"/>
  <c r="E200" i="10285"/>
  <c r="G97" i="25587"/>
  <c r="E197" i="10285"/>
  <c r="E198" i="10285"/>
  <c r="G96" i="25587"/>
  <c r="F186" i="10285"/>
  <c r="G198" i="10285"/>
  <c r="G95" i="25587"/>
  <c r="G94" i="25587"/>
  <c r="E195" i="10285"/>
  <c r="E196" i="10285"/>
  <c r="D193" i="10285"/>
  <c r="G93" i="25587"/>
  <c r="G92" i="25587"/>
  <c r="G193" i="10285"/>
  <c r="F193" i="10285"/>
  <c r="G80" i="10285"/>
  <c r="F56" i="10285"/>
  <c r="E194" i="10285"/>
  <c r="D194" i="10285"/>
  <c r="F194" i="10285"/>
  <c r="G194" i="10285"/>
  <c r="G45" i="4888"/>
  <c r="D22" i="4888"/>
  <c r="F21" i="4888"/>
  <c r="G91" i="25587"/>
  <c r="D192" i="10285"/>
  <c r="E193" i="10285"/>
  <c r="D190" i="10285"/>
  <c r="G190" i="10285"/>
  <c r="F190" i="10285"/>
  <c r="G58" i="10285"/>
  <c r="E192" i="10285"/>
  <c r="G192" i="10285"/>
  <c r="F192" i="10285"/>
  <c r="E73" i="10285"/>
  <c r="G191" i="10285"/>
  <c r="D191" i="10285"/>
  <c r="D36" i="4888"/>
  <c r="F48" i="4888"/>
  <c r="C36" i="4888"/>
  <c r="E36" i="4888"/>
  <c r="D37" i="4888"/>
  <c r="G90" i="25587"/>
  <c r="E190" i="10285"/>
  <c r="F191" i="10285"/>
  <c r="E191" i="10285"/>
  <c r="D188" i="10285"/>
  <c r="G89" i="25587"/>
  <c r="G88" i="25587"/>
  <c r="G99" i="10285"/>
  <c r="G189" i="10285"/>
  <c r="F189" i="10285"/>
  <c r="E13" i="4888"/>
  <c r="E14" i="4888"/>
  <c r="E18" i="4888"/>
  <c r="F22" i="4888"/>
  <c r="E189" i="10285"/>
  <c r="D189" i="10285"/>
  <c r="E56" i="10285"/>
  <c r="E16" i="4888"/>
  <c r="C10" i="4888"/>
  <c r="E20" i="4888"/>
  <c r="G188" i="10285"/>
  <c r="F188" i="10285"/>
  <c r="G87" i="25587"/>
  <c r="G184" i="10285"/>
  <c r="E186" i="10285"/>
  <c r="E188" i="10285"/>
  <c r="G86" i="25587"/>
  <c r="G183" i="10285"/>
  <c r="D183" i="10285"/>
  <c r="F183" i="10285"/>
  <c r="D186" i="10285"/>
  <c r="G187" i="10285"/>
  <c r="E187" i="10285"/>
  <c r="D187" i="10285"/>
  <c r="F187" i="10285"/>
  <c r="G85" i="25587"/>
  <c r="F184" i="10285"/>
  <c r="G179" i="10285"/>
  <c r="G84" i="25587"/>
  <c r="M38" i="25582"/>
  <c r="G170" i="10285"/>
  <c r="F71" i="10285"/>
  <c r="G162" i="10285"/>
  <c r="D182" i="10285"/>
  <c r="D184" i="10285"/>
  <c r="G83" i="25587"/>
  <c r="D185" i="10285"/>
  <c r="F185" i="10285"/>
  <c r="E185" i="10285"/>
  <c r="G185" i="10285"/>
  <c r="G166" i="10285"/>
  <c r="F169" i="10285"/>
  <c r="G165" i="10285"/>
  <c r="D111" i="10285"/>
  <c r="G111" i="10285"/>
  <c r="G82" i="25587"/>
  <c r="E183" i="10285"/>
  <c r="E184" i="10285"/>
  <c r="F111" i="10285"/>
  <c r="G81" i="25587"/>
  <c r="G60" i="10285"/>
  <c r="D87" i="10285"/>
  <c r="G169" i="10285"/>
  <c r="F182" i="10285"/>
  <c r="D163" i="10285"/>
  <c r="D167" i="10285"/>
  <c r="E182" i="10285"/>
  <c r="G161" i="10285"/>
  <c r="G173" i="10285"/>
  <c r="G80" i="25587"/>
  <c r="G168" i="10285"/>
  <c r="G164" i="10285"/>
  <c r="G172" i="10285"/>
  <c r="F170" i="10285"/>
  <c r="G182" i="10285"/>
  <c r="D180" i="10285"/>
  <c r="F179" i="10285"/>
  <c r="E179" i="10285"/>
  <c r="G175" i="10285"/>
  <c r="D164" i="10285"/>
  <c r="E168" i="10285"/>
  <c r="D168" i="10285"/>
  <c r="D173" i="10285"/>
  <c r="E172" i="10285"/>
  <c r="D177" i="10285"/>
  <c r="E176" i="10285"/>
  <c r="F176" i="10285"/>
  <c r="E180" i="10285"/>
  <c r="F180" i="10285"/>
  <c r="G79" i="25587"/>
  <c r="D172" i="10285"/>
  <c r="E171" i="10285"/>
  <c r="G171" i="10285"/>
  <c r="G163" i="10285"/>
  <c r="D165" i="10285"/>
  <c r="D170" i="10285"/>
  <c r="D169" i="10285"/>
  <c r="E169" i="10285"/>
  <c r="D174" i="10285"/>
  <c r="E173" i="10285"/>
  <c r="D178" i="10285"/>
  <c r="E177" i="10285"/>
  <c r="F177" i="10285"/>
  <c r="F181" i="10285"/>
  <c r="D181" i="10285"/>
  <c r="E181" i="10285"/>
  <c r="G181" i="10285"/>
  <c r="D176" i="10285"/>
  <c r="E175" i="10285"/>
  <c r="F175" i="10285"/>
  <c r="F171" i="10285"/>
  <c r="G167" i="10285"/>
  <c r="D162" i="10285"/>
  <c r="D166" i="10285"/>
  <c r="D171" i="10285"/>
  <c r="E170" i="10285"/>
  <c r="D175" i="10285"/>
  <c r="E174" i="10285"/>
  <c r="F174" i="10285"/>
  <c r="D179" i="10285"/>
  <c r="E178" i="10285"/>
  <c r="F178" i="10285"/>
  <c r="E80" i="10285"/>
  <c r="J10" i="25582"/>
  <c r="G78" i="25587"/>
  <c r="F168" i="10285"/>
  <c r="G180" i="10285"/>
  <c r="G77" i="25587"/>
  <c r="F166" i="10285"/>
  <c r="G178" i="10285"/>
  <c r="G76" i="25587"/>
  <c r="F165" i="10285"/>
  <c r="G177" i="10285"/>
  <c r="G36" i="25582"/>
  <c r="F80" i="10285"/>
  <c r="G75" i="25587"/>
  <c r="F92" i="10285"/>
  <c r="B34" i="25582"/>
  <c r="H10" i="25582"/>
  <c r="G104" i="10285"/>
  <c r="G74" i="25587"/>
  <c r="F164" i="10285"/>
  <c r="G176" i="10285"/>
  <c r="G110" i="10285"/>
  <c r="D10" i="25582"/>
  <c r="D37" i="25582"/>
  <c r="G73" i="25587"/>
  <c r="F9" i="25582"/>
  <c r="G38" i="25582"/>
  <c r="H17" i="25582"/>
  <c r="K17" i="25582"/>
  <c r="M29" i="25582"/>
  <c r="D61" i="10285"/>
  <c r="G72" i="25587"/>
  <c r="F162" i="10285"/>
  <c r="G174" i="10285"/>
  <c r="E84" i="10285"/>
  <c r="F68" i="10285"/>
  <c r="F161" i="10285"/>
  <c r="M10" i="25582"/>
  <c r="G47" i="25587"/>
  <c r="G71" i="25587"/>
  <c r="D161" i="10285"/>
  <c r="F172" i="10285"/>
  <c r="F61" i="10285"/>
  <c r="F101" i="10285"/>
  <c r="G84" i="10285"/>
  <c r="E10" i="25582"/>
  <c r="G70" i="25587"/>
  <c r="D64" i="10285"/>
  <c r="G44" i="25587"/>
  <c r="G69" i="25587"/>
  <c r="I38" i="25582"/>
  <c r="K9" i="25582"/>
  <c r="G68" i="25587"/>
  <c r="G49" i="25587"/>
  <c r="G40" i="25587"/>
  <c r="G73" i="10285"/>
  <c r="F73" i="10285"/>
  <c r="G113" i="10285"/>
  <c r="G55" i="25587"/>
  <c r="G34" i="25587"/>
  <c r="G50" i="25587"/>
  <c r="G54" i="25587"/>
  <c r="G37" i="25587"/>
  <c r="G67" i="25587"/>
  <c r="J38" i="25582"/>
  <c r="G14" i="25582"/>
  <c r="F113" i="10285"/>
  <c r="D68" i="10285"/>
  <c r="D74" i="10285"/>
  <c r="G92" i="10285"/>
  <c r="G66" i="25587"/>
  <c r="G32" i="25587"/>
  <c r="G56" i="25587"/>
  <c r="C16" i="25582"/>
  <c r="F33" i="25582"/>
  <c r="B13" i="25582"/>
  <c r="E166" i="10285"/>
  <c r="E167" i="10285"/>
  <c r="F167" i="10285"/>
  <c r="G48" i="25587"/>
  <c r="G65" i="25587"/>
  <c r="H36" i="25582"/>
  <c r="D150" i="10285"/>
  <c r="E74" i="10285"/>
  <c r="F86" i="10285"/>
  <c r="B9" i="25582"/>
  <c r="L9" i="25582"/>
  <c r="G46" i="25587"/>
  <c r="G64" i="25587"/>
  <c r="G36" i="25587"/>
  <c r="F37" i="25582"/>
  <c r="M37" i="25582"/>
  <c r="M17" i="25582"/>
  <c r="K36" i="25582"/>
  <c r="J34" i="25582"/>
  <c r="E164" i="10285"/>
  <c r="E165" i="10285"/>
  <c r="G63" i="25587"/>
  <c r="G38" i="25587"/>
  <c r="G15" i="25582"/>
  <c r="I10" i="25582"/>
  <c r="I30" i="25582"/>
  <c r="G39" i="25587"/>
  <c r="G57" i="25587"/>
  <c r="G53" i="25587"/>
  <c r="G62" i="25587"/>
  <c r="G41" i="25587"/>
  <c r="B38" i="25582"/>
  <c r="C37" i="25582"/>
  <c r="C15" i="25582"/>
  <c r="C35" i="25582"/>
  <c r="F14" i="25582"/>
  <c r="D151" i="10285"/>
  <c r="F163" i="10285"/>
  <c r="E162" i="10285"/>
  <c r="E163" i="10285"/>
  <c r="G51" i="25587"/>
  <c r="G33" i="25587"/>
  <c r="G52" i="25587"/>
  <c r="G61" i="25587"/>
  <c r="B15" i="25582"/>
  <c r="H35" i="25582"/>
  <c r="H15" i="25582"/>
  <c r="I35" i="25582"/>
  <c r="H34" i="25582"/>
  <c r="H14" i="25582"/>
  <c r="K33" i="25582"/>
  <c r="K13" i="25582"/>
  <c r="E33" i="25582"/>
  <c r="G45" i="25587"/>
  <c r="G42" i="25587"/>
  <c r="G10" i="25582"/>
  <c r="G30" i="25582"/>
  <c r="L13" i="25582"/>
  <c r="M13" i="25582"/>
  <c r="L16" i="25582"/>
  <c r="G13" i="25582"/>
  <c r="G37" i="25582"/>
  <c r="G17" i="25582"/>
  <c r="D35" i="25582"/>
  <c r="D15" i="25582"/>
  <c r="E17" i="25582"/>
  <c r="E37" i="25582"/>
  <c r="F84" i="10285"/>
  <c r="D36" i="25582"/>
  <c r="D16" i="25582"/>
  <c r="F30" i="25582"/>
  <c r="F10" i="25582"/>
  <c r="C29" i="25582"/>
  <c r="M15" i="25582"/>
  <c r="L15" i="25582"/>
  <c r="L35" i="25582"/>
  <c r="D90" i="10285"/>
  <c r="K38" i="25582"/>
  <c r="K18" i="25582"/>
  <c r="B16" i="25582"/>
  <c r="G35" i="25587"/>
  <c r="H13" i="25582"/>
  <c r="H33" i="25582"/>
  <c r="L38" i="25582"/>
  <c r="L18" i="25582"/>
  <c r="D18" i="25582"/>
  <c r="D38" i="25582"/>
  <c r="G60" i="25587"/>
  <c r="B30" i="25582"/>
  <c r="L10" i="25582"/>
  <c r="E18" i="25582"/>
  <c r="E38" i="25582"/>
  <c r="F18" i="25582"/>
  <c r="F38" i="25582"/>
  <c r="D160" i="32"/>
  <c r="J36" i="25582"/>
  <c r="J16" i="25582"/>
  <c r="I16" i="25582"/>
  <c r="I36" i="25582"/>
  <c r="F15" i="25582"/>
  <c r="F35" i="25582"/>
  <c r="E35" i="25582"/>
  <c r="E15" i="25582"/>
  <c r="C34" i="25582"/>
  <c r="C14" i="25582"/>
  <c r="G64" i="10285"/>
  <c r="F64" i="10285"/>
  <c r="C160" i="32"/>
  <c r="G160" i="32"/>
  <c r="E160" i="32"/>
  <c r="F160" i="32"/>
  <c r="E158" i="10285"/>
  <c r="E161" i="10285"/>
  <c r="J9" i="25582"/>
  <c r="J29" i="25582"/>
  <c r="G59" i="25587"/>
  <c r="B37" i="25582"/>
  <c r="B17" i="25582"/>
  <c r="M36" i="25582"/>
  <c r="M16" i="25582"/>
  <c r="F36" i="25582"/>
  <c r="F16" i="25582"/>
  <c r="K35" i="25582"/>
  <c r="K15" i="25582"/>
  <c r="J35" i="25582"/>
  <c r="J15" i="25582"/>
  <c r="D34" i="25582"/>
  <c r="D14" i="25582"/>
  <c r="L14" i="25582"/>
  <c r="L34" i="25582"/>
  <c r="M14" i="25582"/>
  <c r="E34" i="25582"/>
  <c r="E14" i="25582"/>
  <c r="K34" i="25582"/>
  <c r="K14" i="25582"/>
  <c r="I33" i="25582"/>
  <c r="I13" i="25582"/>
  <c r="J13" i="25582"/>
  <c r="J33" i="25582"/>
  <c r="F104" i="10285"/>
  <c r="D104" i="10285"/>
  <c r="K30" i="25582"/>
  <c r="K10" i="25582"/>
  <c r="C30" i="25582"/>
  <c r="C10" i="25582"/>
  <c r="G67" i="4888"/>
  <c r="B68" i="4888"/>
  <c r="D67" i="4888"/>
  <c r="C67" i="4888"/>
  <c r="B54" i="4888"/>
  <c r="F53" i="4888"/>
  <c r="E53" i="4888"/>
  <c r="G53" i="4888"/>
  <c r="D53" i="4888"/>
  <c r="F65" i="4888"/>
  <c r="C53" i="4888"/>
  <c r="G34" i="4888"/>
  <c r="E22" i="4888"/>
  <c r="E21" i="4888"/>
  <c r="B11" i="4888"/>
  <c r="I29" i="25582"/>
  <c r="I9" i="25582"/>
  <c r="E9" i="25582"/>
  <c r="H9" i="25582"/>
  <c r="H29" i="25582"/>
  <c r="G43" i="25587"/>
  <c r="H38" i="25582"/>
  <c r="H18" i="25582"/>
  <c r="I37" i="25582"/>
  <c r="I17" i="25582"/>
  <c r="D29" i="25582"/>
  <c r="D9" i="25582"/>
  <c r="E36" i="25582"/>
  <c r="E16" i="25582"/>
  <c r="C33" i="25582"/>
  <c r="C13" i="25582"/>
  <c r="D33" i="25582"/>
  <c r="D13" i="25582"/>
  <c r="I14" i="25582"/>
  <c r="I34" i="25582"/>
  <c r="F141" i="10285"/>
  <c r="G141" i="10285"/>
  <c r="D141" i="10285"/>
  <c r="E141" i="10285"/>
  <c r="L17" i="25582"/>
  <c r="L37" i="25582"/>
  <c r="C38" i="25582"/>
  <c r="C18" i="25582"/>
  <c r="G94" i="10285"/>
  <c r="F94" i="10285"/>
  <c r="D94" i="10285"/>
  <c r="G118" i="10285"/>
  <c r="E94" i="10285"/>
  <c r="F81" i="10285"/>
  <c r="G81" i="10285"/>
  <c r="D81" i="10285"/>
  <c r="E81" i="10285"/>
  <c r="F100" i="10285"/>
  <c r="G124" i="10285"/>
  <c r="D101" i="10285"/>
  <c r="D100" i="10285"/>
  <c r="G100" i="10285"/>
  <c r="E100" i="10285"/>
  <c r="F121" i="10285"/>
  <c r="D121" i="10285"/>
  <c r="E121" i="10285"/>
  <c r="G121" i="10285"/>
  <c r="E114" i="10285"/>
  <c r="G114" i="10285"/>
  <c r="F114" i="10285"/>
  <c r="D114" i="10285"/>
  <c r="E144" i="10285"/>
  <c r="F144" i="10285"/>
  <c r="D144" i="10285"/>
  <c r="G144" i="10285"/>
  <c r="F93" i="10285"/>
  <c r="D93" i="10285"/>
  <c r="E93" i="10285"/>
  <c r="G93" i="10285"/>
  <c r="E145" i="10285"/>
  <c r="G145" i="10285"/>
  <c r="F145" i="10285"/>
  <c r="D145" i="10285"/>
  <c r="G133" i="10285"/>
  <c r="E133" i="10285"/>
  <c r="F133" i="10285"/>
  <c r="D133" i="10285"/>
  <c r="F65" i="10285"/>
  <c r="G65" i="10285"/>
  <c r="E65" i="10285"/>
  <c r="D65" i="10285"/>
  <c r="D127" i="10285"/>
  <c r="G151" i="10285"/>
  <c r="G127" i="10285"/>
  <c r="E127" i="10285"/>
  <c r="F127" i="10285"/>
  <c r="E85" i="10285"/>
  <c r="D85" i="10285"/>
  <c r="G85" i="10285"/>
  <c r="F85" i="10285"/>
  <c r="D86" i="10285"/>
  <c r="G112" i="10285"/>
  <c r="F112" i="10285"/>
  <c r="E112" i="10285"/>
  <c r="D112" i="10285"/>
  <c r="F124" i="10285"/>
  <c r="D130" i="10285"/>
  <c r="G130" i="10285"/>
  <c r="E130" i="10285"/>
  <c r="F130" i="10285"/>
  <c r="F122" i="10285"/>
  <c r="E122" i="10285"/>
  <c r="D122" i="10285"/>
  <c r="G122" i="10285"/>
  <c r="D160" i="10285"/>
  <c r="G160" i="10285"/>
  <c r="F160" i="10285"/>
  <c r="E160" i="10285"/>
  <c r="D126" i="10285"/>
  <c r="F126" i="10285"/>
  <c r="G126" i="10285"/>
  <c r="E126" i="10285"/>
  <c r="G150" i="10285"/>
  <c r="G89" i="10285"/>
  <c r="D136" i="10285"/>
  <c r="G136" i="10285"/>
  <c r="E136" i="10285"/>
  <c r="F136" i="10285"/>
  <c r="G59" i="10285"/>
  <c r="D59" i="10285"/>
  <c r="E59" i="10285"/>
  <c r="F59" i="10285"/>
  <c r="E60" i="10285"/>
  <c r="D60" i="10285"/>
  <c r="E67" i="10285"/>
  <c r="E64" i="10285"/>
  <c r="E71" i="10285"/>
  <c r="E61" i="10285"/>
  <c r="F152" i="10285"/>
  <c r="E152" i="10285"/>
  <c r="D152" i="10285"/>
  <c r="G152" i="10285"/>
  <c r="E137" i="10285"/>
  <c r="F137" i="10285"/>
  <c r="D137" i="10285"/>
  <c r="G137" i="10285"/>
  <c r="F149" i="10285"/>
  <c r="D123" i="10285"/>
  <c r="G123" i="10285"/>
  <c r="E123" i="10285"/>
  <c r="F123" i="10285"/>
  <c r="D124" i="10285"/>
  <c r="D91" i="10285"/>
  <c r="D92" i="10285"/>
  <c r="G91" i="10285"/>
  <c r="E91" i="10285"/>
  <c r="F91" i="10285"/>
  <c r="F103" i="10285"/>
  <c r="D120" i="10285"/>
  <c r="G120" i="10285"/>
  <c r="E120" i="10285"/>
  <c r="F132" i="10285"/>
  <c r="F120" i="10285"/>
  <c r="D128" i="10285"/>
  <c r="E128" i="10285"/>
  <c r="F128" i="10285"/>
  <c r="G128" i="10285"/>
  <c r="D55" i="10285"/>
  <c r="F55" i="10285"/>
  <c r="E55" i="10285"/>
  <c r="G55" i="10285"/>
  <c r="F67" i="10285"/>
  <c r="G76" i="10285"/>
  <c r="D76" i="10285"/>
  <c r="E76" i="10285"/>
  <c r="F76" i="10285"/>
  <c r="D134" i="10285"/>
  <c r="F134" i="10285"/>
  <c r="E134" i="10285"/>
  <c r="G134" i="10285"/>
  <c r="D56" i="10285"/>
  <c r="G72" i="10285"/>
  <c r="D72" i="10285"/>
  <c r="F72" i="10285"/>
  <c r="D73" i="10285"/>
  <c r="E72" i="10285"/>
  <c r="G58" i="25587"/>
  <c r="G147" i="10285"/>
  <c r="F147" i="10285"/>
  <c r="E147" i="10285"/>
  <c r="D147" i="10285"/>
  <c r="D140" i="10285"/>
  <c r="G140" i="10285"/>
  <c r="F140" i="10285"/>
  <c r="E140" i="10285"/>
  <c r="G148" i="10285"/>
  <c r="E148" i="10285"/>
  <c r="D148" i="10285"/>
  <c r="D149" i="10285"/>
  <c r="F148" i="10285"/>
  <c r="E54" i="10285"/>
  <c r="F54" i="10285"/>
  <c r="G54" i="10285"/>
  <c r="E129" i="10285"/>
  <c r="F129" i="10285"/>
  <c r="D129" i="10285"/>
  <c r="G129" i="10285"/>
  <c r="E106" i="10285"/>
  <c r="D106" i="10285"/>
  <c r="G106" i="10285"/>
  <c r="F106" i="10285"/>
  <c r="F118" i="10285"/>
  <c r="E63" i="10285"/>
  <c r="G63" i="10285"/>
  <c r="D63" i="10285"/>
  <c r="F63" i="10285"/>
  <c r="G87" i="10285"/>
  <c r="E57" i="10285"/>
  <c r="G57" i="10285"/>
  <c r="F57" i="10285"/>
  <c r="D57" i="10285"/>
  <c r="D58" i="10285"/>
  <c r="D79" i="10285"/>
  <c r="E79" i="10285"/>
  <c r="G79" i="10285"/>
  <c r="D80" i="10285"/>
  <c r="G103" i="10285"/>
  <c r="F79" i="10285"/>
  <c r="F155" i="10285"/>
  <c r="E155" i="10285"/>
  <c r="D155" i="10285"/>
  <c r="G155" i="10285"/>
  <c r="D105" i="10285"/>
  <c r="F105" i="10285"/>
  <c r="E105" i="10285"/>
  <c r="G105" i="10285"/>
  <c r="D113" i="10285"/>
  <c r="E68" i="10285"/>
  <c r="D159" i="10285"/>
  <c r="E159" i="10285"/>
  <c r="F159" i="10285"/>
  <c r="G159" i="10285"/>
  <c r="E146" i="10285"/>
  <c r="F146" i="10285"/>
  <c r="D146" i="10285"/>
  <c r="G146" i="10285"/>
  <c r="F142" i="10285"/>
  <c r="E142" i="10285"/>
  <c r="G142" i="10285"/>
  <c r="D142" i="10285"/>
  <c r="E139" i="10285"/>
  <c r="F139" i="10285"/>
  <c r="G139" i="10285"/>
  <c r="D139" i="10285"/>
  <c r="F151" i="10285"/>
  <c r="E70" i="10285"/>
  <c r="F70" i="10285"/>
  <c r="D70" i="10285"/>
  <c r="G70" i="10285"/>
  <c r="D71" i="10285"/>
  <c r="E116" i="10285"/>
  <c r="G116" i="10285"/>
  <c r="D116" i="10285"/>
  <c r="F116" i="10285"/>
  <c r="D115" i="10285"/>
  <c r="F115" i="10285"/>
  <c r="E115" i="10285"/>
  <c r="G115" i="10285"/>
  <c r="D98" i="10285"/>
  <c r="E98" i="10285"/>
  <c r="F98" i="10285"/>
  <c r="F110" i="10285"/>
  <c r="G98" i="10285"/>
  <c r="D99" i="10285"/>
  <c r="F87" i="10285"/>
  <c r="G75" i="10285"/>
  <c r="F75" i="10285"/>
  <c r="E75" i="10285"/>
  <c r="D75" i="10285"/>
  <c r="F78" i="10285"/>
  <c r="E78" i="10285"/>
  <c r="G78" i="10285"/>
  <c r="D78" i="10285"/>
  <c r="F90" i="10285"/>
  <c r="G83" i="10285"/>
  <c r="D83" i="10285"/>
  <c r="E89" i="10285"/>
  <c r="E87" i="10285"/>
  <c r="E90" i="10285"/>
  <c r="E92" i="10285"/>
  <c r="E83" i="10285"/>
  <c r="E86" i="10285"/>
  <c r="F83" i="10285"/>
  <c r="D84" i="10285"/>
  <c r="D156" i="10285"/>
  <c r="F156" i="10285"/>
  <c r="G156" i="10285"/>
  <c r="E156" i="10285"/>
  <c r="E97" i="10285"/>
  <c r="F97" i="10285"/>
  <c r="D97" i="10285"/>
  <c r="G97" i="10285"/>
  <c r="F158" i="10285"/>
  <c r="J17" i="25582"/>
  <c r="J37" i="25582"/>
  <c r="E103" i="10285"/>
  <c r="E95" i="10285"/>
  <c r="D95" i="10285"/>
  <c r="E101" i="10285"/>
  <c r="F95" i="10285"/>
  <c r="E99" i="10285"/>
  <c r="G95" i="10285"/>
  <c r="F119" i="10285"/>
  <c r="E124" i="10285"/>
  <c r="G119" i="10285"/>
  <c r="D119" i="10285"/>
  <c r="E119" i="10285"/>
  <c r="E157" i="10285"/>
  <c r="D157" i="10285"/>
  <c r="G157" i="10285"/>
  <c r="F157" i="10285"/>
  <c r="E131" i="10285"/>
  <c r="F131" i="10285"/>
  <c r="D131" i="10285"/>
  <c r="M32" i="25582" s="1"/>
  <c r="G131" i="10285"/>
  <c r="D132" i="10285"/>
  <c r="E132" i="10285"/>
  <c r="F66" i="10285"/>
  <c r="E66" i="10285"/>
  <c r="G90" i="10285"/>
  <c r="D66" i="10285"/>
  <c r="G66" i="10285"/>
  <c r="F154" i="10285"/>
  <c r="D154" i="10285"/>
  <c r="E154" i="10285"/>
  <c r="G154" i="10285"/>
  <c r="E109" i="10285"/>
  <c r="G109" i="10285"/>
  <c r="D110" i="10285"/>
  <c r="D109" i="10285"/>
  <c r="F109" i="10285"/>
  <c r="E107" i="10285"/>
  <c r="F107" i="10285"/>
  <c r="E110" i="10285"/>
  <c r="E111" i="10285"/>
  <c r="G107" i="10285"/>
  <c r="D107" i="10285"/>
  <c r="E113" i="10285"/>
  <c r="E118" i="10285"/>
  <c r="E62" i="10285"/>
  <c r="F62" i="10285"/>
  <c r="G62" i="10285"/>
  <c r="F74" i="10285"/>
  <c r="D62" i="10285"/>
  <c r="G86" i="10285"/>
  <c r="E82" i="10285"/>
  <c r="G82" i="10285"/>
  <c r="D82" i="10285"/>
  <c r="F82" i="10285"/>
  <c r="D108" i="10285"/>
  <c r="E108" i="10285"/>
  <c r="G132" i="10285"/>
  <c r="G108" i="10285"/>
  <c r="F108" i="10285"/>
  <c r="F88" i="10285"/>
  <c r="G88" i="10285"/>
  <c r="D89" i="10285"/>
  <c r="E88" i="10285"/>
  <c r="D88" i="10285"/>
  <c r="F138" i="10285"/>
  <c r="G138" i="10285"/>
  <c r="E138" i="10285"/>
  <c r="F150" i="10285"/>
  <c r="D138" i="10285"/>
  <c r="E104" i="10285"/>
  <c r="D158" i="10285"/>
  <c r="G125" i="10285"/>
  <c r="D125" i="10285"/>
  <c r="E125" i="10285"/>
  <c r="F125" i="10285"/>
  <c r="G149" i="10285"/>
  <c r="D135" i="10285"/>
  <c r="F135" i="10285"/>
  <c r="E135" i="10285"/>
  <c r="G135" i="10285"/>
  <c r="F153" i="10285"/>
  <c r="E153" i="10285"/>
  <c r="G153" i="10285"/>
  <c r="D153" i="10285"/>
  <c r="G9" i="25582"/>
  <c r="G29" i="25582"/>
  <c r="E69" i="10285"/>
  <c r="D69" i="10285"/>
  <c r="F69" i="10285"/>
  <c r="G69" i="10285"/>
  <c r="D77" i="10285"/>
  <c r="E77" i="10285"/>
  <c r="G77" i="10285"/>
  <c r="G101" i="10285"/>
  <c r="F89" i="10285"/>
  <c r="F77" i="10285"/>
  <c r="G96" i="10285"/>
  <c r="E96" i="10285"/>
  <c r="D96" i="10285"/>
  <c r="F96" i="10285"/>
  <c r="G117" i="10285"/>
  <c r="E117" i="10285"/>
  <c r="D117" i="10285"/>
  <c r="F117" i="10285"/>
  <c r="D118" i="10285"/>
  <c r="G102" i="10285"/>
  <c r="D103" i="10285"/>
  <c r="E102" i="10285"/>
  <c r="F102" i="10285"/>
  <c r="D102" i="10285"/>
  <c r="F143" i="10285"/>
  <c r="E143" i="10285"/>
  <c r="D143" i="10285"/>
  <c r="G143" i="10285"/>
  <c r="E151" i="10285"/>
  <c r="E150" i="10285"/>
  <c r="E149" i="10285"/>
  <c r="D67" i="10285"/>
  <c r="G158" i="10285"/>
  <c r="N15" i="25582" l="1"/>
  <c r="N16" i="25582"/>
  <c r="N17" i="25582"/>
  <c r="N10" i="25582"/>
  <c r="N38" i="25582"/>
  <c r="N36" i="25582"/>
  <c r="N35" i="25582"/>
  <c r="N14" i="25582"/>
  <c r="N30" i="25582"/>
  <c r="B161" i="3584"/>
  <c r="C160" i="3584"/>
  <c r="G160" i="3584"/>
  <c r="F160" i="3584"/>
  <c r="E160" i="3584"/>
  <c r="D160" i="3584"/>
  <c r="N29" i="25582"/>
  <c r="N18" i="25582"/>
  <c r="N37" i="25582"/>
  <c r="N34" i="25582"/>
  <c r="E11" i="4888"/>
  <c r="F23" i="4888"/>
  <c r="C11" i="4888"/>
  <c r="B12" i="4888"/>
  <c r="D11" i="4888"/>
  <c r="G35" i="4888"/>
  <c r="F54" i="4888"/>
  <c r="B55" i="4888"/>
  <c r="G54" i="4888"/>
  <c r="E54" i="4888"/>
  <c r="D54" i="4888"/>
  <c r="F66" i="4888"/>
  <c r="C54" i="4888"/>
  <c r="C68" i="4888"/>
  <c r="B69" i="4888"/>
  <c r="D68" i="4888"/>
  <c r="G68" i="4888"/>
  <c r="N9" i="25582"/>
  <c r="N13" i="25582"/>
  <c r="N33" i="25582"/>
  <c r="D32" i="25582"/>
  <c r="D12" i="25582"/>
  <c r="H12" i="25582"/>
  <c r="H32" i="25582"/>
  <c r="J32" i="25582"/>
  <c r="J12" i="25582"/>
  <c r="E12" i="25582"/>
  <c r="E32" i="25582"/>
  <c r="G12" i="25582"/>
  <c r="G32" i="25582"/>
  <c r="B12" i="25582"/>
  <c r="B32" i="25582"/>
  <c r="I12" i="25582"/>
  <c r="I32" i="25582"/>
  <c r="K32" i="25582"/>
  <c r="K12" i="25582"/>
  <c r="F32" i="25582"/>
  <c r="F12" i="25582"/>
  <c r="M12" i="25582"/>
  <c r="L32" i="25582"/>
  <c r="L12" i="25582"/>
  <c r="C12" i="25582"/>
  <c r="C32" i="25582"/>
  <c r="F173" i="3584" l="1"/>
  <c r="D161" i="3584"/>
  <c r="E161" i="3584"/>
  <c r="D162" i="3584"/>
  <c r="F161" i="3584"/>
  <c r="C161" i="3584"/>
  <c r="G161" i="3584"/>
  <c r="B56" i="4888"/>
  <c r="D55" i="4888"/>
  <c r="C55" i="4888"/>
  <c r="E55" i="4888"/>
  <c r="G55" i="4888"/>
  <c r="F55" i="4888"/>
  <c r="F67" i="4888"/>
  <c r="D13" i="4888"/>
  <c r="F24" i="4888"/>
  <c r="D12" i="4888"/>
  <c r="E12" i="4888"/>
  <c r="G36" i="4888"/>
  <c r="C12" i="4888"/>
  <c r="B70" i="4888"/>
  <c r="C69" i="4888"/>
  <c r="D69" i="4888"/>
  <c r="G69" i="4888"/>
  <c r="N32" i="25582"/>
  <c r="N12" i="25582"/>
  <c r="G70" i="4888" l="1"/>
  <c r="D70" i="4888"/>
  <c r="C70" i="4888"/>
  <c r="B71" i="4888"/>
  <c r="C56" i="4888"/>
  <c r="B57" i="4888"/>
  <c r="D56" i="4888"/>
  <c r="E56" i="4888"/>
  <c r="F68" i="4888"/>
  <c r="G56" i="4888"/>
  <c r="F56" i="4888"/>
  <c r="F69" i="4888" l="1"/>
  <c r="E57" i="4888"/>
  <c r="F57" i="4888"/>
  <c r="G57" i="4888"/>
  <c r="B58" i="4888"/>
  <c r="C57" i="4888"/>
  <c r="D57" i="4888"/>
  <c r="D71" i="4888"/>
  <c r="G71" i="4888"/>
  <c r="B72" i="4888"/>
  <c r="E71" i="4888"/>
  <c r="C71" i="4888"/>
  <c r="E70" i="4888" l="1"/>
  <c r="E65" i="4888"/>
  <c r="E64" i="4888"/>
  <c r="E67" i="4888"/>
  <c r="E68" i="4888"/>
  <c r="B59" i="4888"/>
  <c r="G58" i="4888"/>
  <c r="F58" i="4888"/>
  <c r="E63" i="4888"/>
  <c r="E66" i="4888"/>
  <c r="E69" i="4888"/>
  <c r="D58" i="4888"/>
  <c r="E58" i="4888"/>
  <c r="C58" i="4888"/>
  <c r="F70" i="4888"/>
  <c r="B73" i="4888"/>
  <c r="E72" i="4888"/>
  <c r="C72" i="4888"/>
  <c r="D72" i="4888"/>
  <c r="G72" i="4888"/>
  <c r="B74" i="4888" l="1"/>
  <c r="D73" i="4888"/>
  <c r="G73" i="4888"/>
  <c r="E73" i="4888"/>
  <c r="C73" i="4888"/>
  <c r="E59" i="4888"/>
  <c r="F59" i="4888"/>
  <c r="C59" i="4888"/>
  <c r="B60" i="4888"/>
  <c r="D59" i="4888"/>
  <c r="G59" i="4888"/>
  <c r="F71" i="4888"/>
  <c r="E60" i="4888" l="1"/>
  <c r="G60" i="4888"/>
  <c r="B61" i="4888"/>
  <c r="C60" i="4888"/>
  <c r="F60" i="4888"/>
  <c r="D60" i="4888"/>
  <c r="F72" i="4888"/>
  <c r="E74" i="4888"/>
  <c r="D74" i="4888"/>
  <c r="G74" i="4888"/>
  <c r="C74" i="4888"/>
  <c r="B75" i="4888"/>
  <c r="F75" i="4888" l="1"/>
  <c r="E75" i="4888"/>
  <c r="G75" i="4888"/>
  <c r="B76" i="4888"/>
  <c r="D75" i="4888"/>
  <c r="C75" i="4888"/>
  <c r="B62" i="4888"/>
  <c r="D61" i="4888"/>
  <c r="C61" i="4888"/>
  <c r="E61" i="4888"/>
  <c r="F61" i="4888"/>
  <c r="G61" i="4888"/>
  <c r="F73" i="4888"/>
  <c r="C62" i="4888" l="1"/>
  <c r="E62" i="4888"/>
  <c r="F62" i="4888"/>
  <c r="D63" i="4888"/>
  <c r="D62" i="4888"/>
  <c r="G62" i="4888"/>
  <c r="F74" i="4888"/>
  <c r="D76" i="4888"/>
  <c r="C76" i="4888"/>
  <c r="F76" i="4888"/>
  <c r="B77" i="4888"/>
  <c r="G76" i="4888"/>
  <c r="E76" i="4888"/>
  <c r="E77" i="4888" l="1"/>
  <c r="F77" i="4888"/>
  <c r="D77" i="4888"/>
  <c r="B78" i="4888"/>
  <c r="C77" i="4888"/>
  <c r="G77" i="4888"/>
  <c r="C78" i="4888" l="1"/>
  <c r="D78" i="4888"/>
  <c r="B79" i="4888"/>
  <c r="G78" i="4888"/>
  <c r="E78" i="4888"/>
  <c r="F78" i="4888"/>
  <c r="B80" i="4888" l="1"/>
  <c r="F79" i="4888"/>
  <c r="G79" i="4888"/>
  <c r="E79" i="4888"/>
  <c r="C79" i="4888"/>
  <c r="D79" i="4888"/>
  <c r="E80" i="4888" l="1"/>
  <c r="D80" i="4888"/>
  <c r="G80" i="4888"/>
  <c r="F80" i="4888"/>
  <c r="B81" i="4888"/>
  <c r="C80" i="4888"/>
  <c r="C81" i="4888" l="1"/>
  <c r="E81" i="4888"/>
  <c r="G81" i="4888"/>
  <c r="F81" i="4888"/>
  <c r="B82" i="4888"/>
  <c r="D81" i="4888"/>
  <c r="E82" i="4888" l="1"/>
  <c r="B83" i="4888"/>
  <c r="D82" i="4888"/>
  <c r="C82" i="4888"/>
  <c r="G82" i="4888"/>
  <c r="F82" i="4888"/>
  <c r="D83" i="4888" l="1"/>
  <c r="F83" i="4888"/>
  <c r="C83" i="4888"/>
  <c r="E83" i="4888"/>
  <c r="G83" i="4888"/>
  <c r="B84" i="4888"/>
  <c r="G84" i="4888" l="1"/>
  <c r="E84" i="4888"/>
  <c r="F84" i="4888"/>
  <c r="B85" i="4888"/>
  <c r="C84" i="4888"/>
  <c r="D84" i="4888"/>
  <c r="E85" i="4888" l="1"/>
  <c r="F85" i="4888"/>
  <c r="G85" i="4888"/>
  <c r="D85" i="4888"/>
  <c r="C85" i="4888"/>
  <c r="B86" i="4888"/>
  <c r="G86" i="4888" l="1"/>
  <c r="B87" i="4888"/>
  <c r="C86" i="4888"/>
  <c r="E86" i="4888"/>
  <c r="D86" i="4888"/>
  <c r="F86" i="4888"/>
  <c r="F87" i="4888" l="1"/>
  <c r="D87" i="4888"/>
  <c r="C87" i="4888"/>
  <c r="G87" i="4888"/>
  <c r="B88" i="4888"/>
  <c r="E87" i="4888"/>
  <c r="C88" i="4888" l="1"/>
  <c r="F88" i="4888"/>
  <c r="B89" i="4888"/>
  <c r="D88" i="4888"/>
  <c r="G88" i="4888"/>
  <c r="E88" i="4888"/>
  <c r="D89" i="4888" l="1"/>
  <c r="G89" i="4888"/>
  <c r="B90" i="4888"/>
  <c r="F89" i="4888"/>
  <c r="C89" i="4888"/>
  <c r="E89" i="4888"/>
  <c r="C90" i="4888" l="1"/>
  <c r="B91" i="4888"/>
  <c r="D90" i="4888"/>
  <c r="E90" i="4888"/>
  <c r="G90" i="4888"/>
  <c r="F90" i="4888"/>
  <c r="B92" i="4888" l="1"/>
  <c r="G91" i="4888"/>
  <c r="C91" i="4888"/>
  <c r="F91" i="4888"/>
  <c r="E91" i="4888"/>
  <c r="D91" i="4888"/>
  <c r="C92" i="4888" l="1"/>
  <c r="G92" i="4888"/>
  <c r="E92" i="4888"/>
  <c r="B93" i="4888"/>
  <c r="F92" i="4888"/>
  <c r="D92" i="4888"/>
  <c r="C93" i="4888" l="1"/>
  <c r="D93" i="4888"/>
  <c r="F93" i="4888"/>
  <c r="G93" i="4888"/>
  <c r="B94" i="4888"/>
  <c r="E93" i="4888"/>
  <c r="D94" i="4888" l="1"/>
  <c r="G94" i="4888"/>
  <c r="B95" i="4888"/>
  <c r="E94" i="4888"/>
  <c r="C94" i="4888"/>
  <c r="F94" i="4888"/>
  <c r="C95" i="4888" l="1"/>
  <c r="B96" i="4888"/>
  <c r="E95" i="4888"/>
  <c r="D95" i="4888"/>
  <c r="G95" i="4888"/>
  <c r="F95" i="4888"/>
  <c r="E96" i="4888" l="1"/>
  <c r="G96" i="4888"/>
  <c r="C96" i="4888"/>
  <c r="D96" i="4888"/>
  <c r="B97" i="4888"/>
  <c r="F96" i="4888"/>
  <c r="C97" i="4888" l="1"/>
  <c r="F97" i="4888"/>
  <c r="D97" i="4888"/>
  <c r="G97" i="4888"/>
  <c r="E97" i="4888"/>
  <c r="B98" i="4888"/>
  <c r="C98" i="4888" l="1"/>
  <c r="D98" i="4888"/>
  <c r="G98" i="4888"/>
  <c r="B99" i="4888"/>
  <c r="F98" i="4888"/>
  <c r="E98" i="4888"/>
  <c r="D99" i="4888" l="1"/>
  <c r="E99" i="4888"/>
  <c r="G99" i="4888"/>
  <c r="F99" i="4888"/>
  <c r="B100" i="4888"/>
  <c r="C99" i="4888"/>
  <c r="B101" i="4888" l="1"/>
  <c r="G100" i="4888"/>
  <c r="E100" i="4888"/>
  <c r="C100" i="4888"/>
  <c r="D100" i="4888"/>
  <c r="F100" i="4888"/>
  <c r="D101" i="4888" l="1"/>
  <c r="F101" i="4888"/>
  <c r="E101" i="4888"/>
  <c r="C101" i="4888"/>
  <c r="G101" i="4888"/>
  <c r="B102" i="4888"/>
  <c r="E102" i="4888" l="1"/>
  <c r="D102" i="4888"/>
  <c r="B103" i="4888"/>
  <c r="G102" i="4888"/>
  <c r="C102" i="4888"/>
  <c r="F102" i="4888"/>
  <c r="D103" i="4888" l="1"/>
  <c r="B104" i="4888"/>
  <c r="E103" i="4888"/>
  <c r="C103" i="4888"/>
  <c r="F103" i="4888"/>
  <c r="G103" i="4888"/>
  <c r="E104" i="4888" l="1"/>
  <c r="C104" i="4888"/>
  <c r="F104" i="4888"/>
  <c r="D104" i="4888"/>
  <c r="G104" i="4888"/>
  <c r="B105" i="4888"/>
  <c r="F105" i="4888" l="1"/>
  <c r="C105" i="4888"/>
  <c r="D105" i="4888"/>
  <c r="G105" i="4888"/>
  <c r="E105" i="4888"/>
  <c r="B106" i="4888"/>
  <c r="C106" i="4888" l="1"/>
  <c r="D106" i="4888"/>
  <c r="B107" i="4888"/>
  <c r="G106" i="4888"/>
  <c r="F106" i="4888"/>
  <c r="E106" i="4888"/>
  <c r="E107" i="4888" l="1"/>
  <c r="D107" i="4888"/>
  <c r="B108" i="4888"/>
  <c r="F107" i="4888"/>
  <c r="G107" i="4888"/>
  <c r="C107" i="4888"/>
  <c r="D108" i="4888" l="1"/>
  <c r="E108" i="4888"/>
  <c r="B109" i="4888"/>
  <c r="F108" i="4888"/>
  <c r="C108" i="4888"/>
  <c r="G108" i="4888"/>
  <c r="C109" i="4888" l="1"/>
  <c r="E109" i="4888"/>
  <c r="F109" i="4888"/>
  <c r="G109" i="4888"/>
  <c r="D109" i="4888"/>
  <c r="B110" i="4888"/>
  <c r="C110" i="4888" l="1"/>
  <c r="B122" i="4888"/>
  <c r="D110" i="4888"/>
  <c r="B121" i="4888"/>
  <c r="B114" i="4888"/>
  <c r="B112" i="4888"/>
  <c r="F110" i="4888"/>
  <c r="G110" i="4888"/>
  <c r="B111" i="4888"/>
  <c r="B119" i="4888"/>
  <c r="B115" i="4888"/>
  <c r="B120" i="4888"/>
  <c r="B116" i="4888"/>
  <c r="B118" i="4888"/>
  <c r="E110" i="4888"/>
  <c r="B117" i="4888"/>
  <c r="B113" i="4888"/>
  <c r="B201" i="4888" l="1"/>
  <c r="B200" i="4888"/>
  <c r="B199" i="4888"/>
  <c r="B198" i="4888"/>
  <c r="B160" i="4888"/>
  <c r="C160" i="4888" s="1"/>
  <c r="B170" i="4888"/>
  <c r="B169" i="4888"/>
  <c r="B168" i="4888"/>
  <c r="B167" i="4888"/>
  <c r="B166" i="4888"/>
  <c r="B165" i="4888"/>
  <c r="B164" i="4888"/>
  <c r="B163" i="4888"/>
  <c r="B162" i="4888"/>
  <c r="B161" i="4888"/>
  <c r="D118" i="4888"/>
  <c r="F118" i="4888"/>
  <c r="G118" i="4888"/>
  <c r="C118" i="4888"/>
  <c r="E118" i="4888"/>
  <c r="F112" i="4888"/>
  <c r="E112" i="4888"/>
  <c r="G112" i="4888"/>
  <c r="D112" i="4888"/>
  <c r="C112" i="4888"/>
  <c r="F116" i="4888"/>
  <c r="G116" i="4888"/>
  <c r="C116" i="4888"/>
  <c r="E116" i="4888"/>
  <c r="D116" i="4888"/>
  <c r="C114" i="4888"/>
  <c r="F114" i="4888"/>
  <c r="D114" i="4888"/>
  <c r="G114" i="4888"/>
  <c r="E114" i="4888"/>
  <c r="D120" i="4888"/>
  <c r="E120" i="4888"/>
  <c r="C120" i="4888"/>
  <c r="F120" i="4888"/>
  <c r="G120" i="4888"/>
  <c r="G121" i="4888"/>
  <c r="D121" i="4888"/>
  <c r="E121" i="4888"/>
  <c r="C121" i="4888"/>
  <c r="F121" i="4888"/>
  <c r="E115" i="4888"/>
  <c r="C115" i="4888"/>
  <c r="D115" i="4888"/>
  <c r="F115" i="4888"/>
  <c r="G115" i="4888"/>
  <c r="D117" i="4888"/>
  <c r="F117" i="4888"/>
  <c r="C117" i="4888"/>
  <c r="G117" i="4888"/>
  <c r="E117" i="4888"/>
  <c r="C119" i="4888"/>
  <c r="G119" i="4888"/>
  <c r="D119" i="4888"/>
  <c r="E119" i="4888"/>
  <c r="F119" i="4888"/>
  <c r="B153" i="4888"/>
  <c r="B145" i="4888"/>
  <c r="B125" i="4888"/>
  <c r="B130" i="4888"/>
  <c r="B127" i="4888"/>
  <c r="B157" i="4888"/>
  <c r="B134" i="4888"/>
  <c r="B159" i="4888"/>
  <c r="B156" i="4888"/>
  <c r="B129" i="4888"/>
  <c r="B128" i="4888"/>
  <c r="B140" i="4888"/>
  <c r="B133" i="4888"/>
  <c r="B126" i="4888"/>
  <c r="B148" i="4888"/>
  <c r="B142" i="4888"/>
  <c r="D122" i="4888"/>
  <c r="B158" i="4888"/>
  <c r="B154" i="4888"/>
  <c r="G122" i="4888"/>
  <c r="B136" i="4888"/>
  <c r="B123" i="4888"/>
  <c r="B132" i="4888"/>
  <c r="B149" i="4888"/>
  <c r="B135" i="4888"/>
  <c r="B144" i="4888"/>
  <c r="B139" i="4888"/>
  <c r="B155" i="4888"/>
  <c r="B137" i="4888"/>
  <c r="B152" i="4888"/>
  <c r="B138" i="4888"/>
  <c r="B124" i="4888"/>
  <c r="B146" i="4888"/>
  <c r="B151" i="4888"/>
  <c r="B147" i="4888"/>
  <c r="C122" i="4888"/>
  <c r="B131" i="4888"/>
  <c r="B143" i="4888"/>
  <c r="B150" i="4888"/>
  <c r="F122" i="4888"/>
  <c r="B141" i="4888"/>
  <c r="E122" i="4888"/>
  <c r="E113" i="4888"/>
  <c r="C113" i="4888"/>
  <c r="D113" i="4888"/>
  <c r="G113" i="4888"/>
  <c r="F113" i="4888"/>
  <c r="G111" i="4888"/>
  <c r="C111" i="4888"/>
  <c r="F111" i="4888"/>
  <c r="D111" i="4888"/>
  <c r="E111" i="4888"/>
  <c r="F210" i="4888" l="1"/>
  <c r="D202" i="4888"/>
  <c r="C198" i="4888"/>
  <c r="C199" i="4888"/>
  <c r="D199" i="4888"/>
  <c r="C200" i="4888"/>
  <c r="D200" i="4888"/>
  <c r="C201" i="4888"/>
  <c r="D201" i="4888"/>
  <c r="C166" i="4888"/>
  <c r="D166" i="4888"/>
  <c r="G166" i="4888"/>
  <c r="F166" i="4888"/>
  <c r="E166" i="4888"/>
  <c r="C163" i="4888"/>
  <c r="D163" i="4888"/>
  <c r="G163" i="4888"/>
  <c r="F163" i="4888"/>
  <c r="E163" i="4888"/>
  <c r="C167" i="4888"/>
  <c r="E167" i="4888"/>
  <c r="G167" i="4888"/>
  <c r="F167" i="4888"/>
  <c r="D167" i="4888"/>
  <c r="C162" i="4888"/>
  <c r="D162" i="4888"/>
  <c r="F162" i="4888"/>
  <c r="E162" i="4888"/>
  <c r="G162" i="4888"/>
  <c r="C170" i="4888"/>
  <c r="D170" i="4888"/>
  <c r="E170" i="4888"/>
  <c r="F170" i="4888"/>
  <c r="G170" i="4888"/>
  <c r="F160" i="4888"/>
  <c r="C164" i="4888"/>
  <c r="E164" i="4888"/>
  <c r="D164" i="4888"/>
  <c r="G164" i="4888"/>
  <c r="F164" i="4888"/>
  <c r="E168" i="4888"/>
  <c r="D168" i="4888"/>
  <c r="F168" i="4888"/>
  <c r="C168" i="4888"/>
  <c r="G168" i="4888"/>
  <c r="C161" i="4888"/>
  <c r="G161" i="4888"/>
  <c r="F161" i="4888"/>
  <c r="E161" i="4888"/>
  <c r="D161" i="4888"/>
  <c r="C165" i="4888"/>
  <c r="D165" i="4888"/>
  <c r="E165" i="4888"/>
  <c r="F165" i="4888"/>
  <c r="G165" i="4888"/>
  <c r="E169" i="4888"/>
  <c r="D169" i="4888"/>
  <c r="F169" i="4888"/>
  <c r="C169" i="4888"/>
  <c r="G169" i="4888"/>
  <c r="D160" i="4888"/>
  <c r="E160" i="4888"/>
  <c r="G160" i="4888"/>
  <c r="C144" i="4888"/>
  <c r="D144" i="4888"/>
  <c r="E144" i="4888"/>
  <c r="F144" i="4888"/>
  <c r="G144" i="4888"/>
  <c r="G129" i="4888"/>
  <c r="D129" i="4888"/>
  <c r="L31" i="25582" s="1"/>
  <c r="E129" i="4888"/>
  <c r="C129" i="4888"/>
  <c r="F129" i="4888"/>
  <c r="E147" i="4888"/>
  <c r="F147" i="4888"/>
  <c r="C147" i="4888"/>
  <c r="D147" i="4888"/>
  <c r="G147" i="4888"/>
  <c r="F139" i="4888"/>
  <c r="G139" i="4888"/>
  <c r="C139" i="4888"/>
  <c r="D139" i="4888"/>
  <c r="E139" i="4888"/>
  <c r="C154" i="4888"/>
  <c r="D154" i="4888"/>
  <c r="G154" i="4888"/>
  <c r="F154" i="4888"/>
  <c r="E154" i="4888"/>
  <c r="D128" i="4888"/>
  <c r="G128" i="4888"/>
  <c r="C128" i="4888"/>
  <c r="F128" i="4888"/>
  <c r="E128" i="4888"/>
  <c r="D125" i="4888"/>
  <c r="G125" i="4888"/>
  <c r="F125" i="4888"/>
  <c r="E125" i="4888"/>
  <c r="C125" i="4888"/>
  <c r="D141" i="4888"/>
  <c r="E141" i="4888"/>
  <c r="C141" i="4888"/>
  <c r="G141" i="4888"/>
  <c r="F141" i="4888"/>
  <c r="D146" i="4888"/>
  <c r="E146" i="4888"/>
  <c r="F146" i="4888"/>
  <c r="C146" i="4888"/>
  <c r="G146" i="4888"/>
  <c r="G135" i="4888"/>
  <c r="D135" i="4888"/>
  <c r="C135" i="4888"/>
  <c r="F135" i="4888"/>
  <c r="E135" i="4888"/>
  <c r="E11" i="25582"/>
  <c r="E31" i="25582"/>
  <c r="E156" i="4888"/>
  <c r="C156" i="4888"/>
  <c r="F156" i="4888"/>
  <c r="G156" i="4888"/>
  <c r="D156" i="4888"/>
  <c r="E153" i="4888"/>
  <c r="D153" i="4888"/>
  <c r="C153" i="4888"/>
  <c r="G153" i="4888"/>
  <c r="F153" i="4888"/>
  <c r="F124" i="4888"/>
  <c r="C124" i="4888"/>
  <c r="E124" i="4888"/>
  <c r="G124" i="4888"/>
  <c r="D124" i="4888"/>
  <c r="E149" i="4888"/>
  <c r="F149" i="4888"/>
  <c r="G149" i="4888"/>
  <c r="C149" i="4888"/>
  <c r="D149" i="4888"/>
  <c r="D142" i="4888"/>
  <c r="E142" i="4888"/>
  <c r="C142" i="4888"/>
  <c r="G142" i="4888"/>
  <c r="F142" i="4888"/>
  <c r="D159" i="4888"/>
  <c r="F159" i="4888"/>
  <c r="C159" i="4888"/>
  <c r="E159" i="4888"/>
  <c r="G159" i="4888"/>
  <c r="C11" i="25582"/>
  <c r="C31" i="25582"/>
  <c r="F150" i="4888"/>
  <c r="D150" i="4888"/>
  <c r="G150" i="4888"/>
  <c r="C150" i="4888"/>
  <c r="E150" i="4888"/>
  <c r="F138" i="4888"/>
  <c r="G138" i="4888"/>
  <c r="E138" i="4888"/>
  <c r="C138" i="4888"/>
  <c r="D138" i="4888"/>
  <c r="D132" i="4888"/>
  <c r="C132" i="4888"/>
  <c r="E132" i="4888"/>
  <c r="F132" i="4888"/>
  <c r="G132" i="4888"/>
  <c r="E148" i="4888"/>
  <c r="G148" i="4888"/>
  <c r="F148" i="4888"/>
  <c r="C148" i="4888"/>
  <c r="D148" i="4888"/>
  <c r="E134" i="4888"/>
  <c r="G134" i="4888"/>
  <c r="C134" i="4888"/>
  <c r="F134" i="4888"/>
  <c r="D134" i="4888"/>
  <c r="C151" i="4888"/>
  <c r="F151" i="4888"/>
  <c r="D151" i="4888"/>
  <c r="E151" i="4888"/>
  <c r="G151" i="4888"/>
  <c r="F143" i="4888"/>
  <c r="G143" i="4888"/>
  <c r="D143" i="4888"/>
  <c r="E143" i="4888"/>
  <c r="C143" i="4888"/>
  <c r="C152" i="4888"/>
  <c r="D152" i="4888"/>
  <c r="E152" i="4888"/>
  <c r="F152" i="4888"/>
  <c r="G152" i="4888"/>
  <c r="D123" i="4888"/>
  <c r="C123" i="4888"/>
  <c r="E123" i="4888"/>
  <c r="F123" i="4888"/>
  <c r="G123" i="4888"/>
  <c r="F126" i="4888"/>
  <c r="E126" i="4888"/>
  <c r="D126" i="4888"/>
  <c r="C126" i="4888"/>
  <c r="G126" i="4888"/>
  <c r="C157" i="4888"/>
  <c r="D157" i="4888"/>
  <c r="G157" i="4888"/>
  <c r="E157" i="4888"/>
  <c r="F157" i="4888"/>
  <c r="B31" i="25582"/>
  <c r="B11" i="25582"/>
  <c r="D31" i="25582"/>
  <c r="D11" i="25582"/>
  <c r="C158" i="4888"/>
  <c r="E158" i="4888"/>
  <c r="G158" i="4888"/>
  <c r="F158" i="4888"/>
  <c r="D158" i="4888"/>
  <c r="D145" i="4888"/>
  <c r="E145" i="4888"/>
  <c r="F145" i="4888"/>
  <c r="G145" i="4888"/>
  <c r="C145" i="4888"/>
  <c r="D131" i="4888"/>
  <c r="F131" i="4888"/>
  <c r="C131" i="4888"/>
  <c r="E131" i="4888"/>
  <c r="G131" i="4888"/>
  <c r="D137" i="4888"/>
  <c r="C137" i="4888"/>
  <c r="G137" i="4888"/>
  <c r="F137" i="4888"/>
  <c r="E137" i="4888"/>
  <c r="G136" i="4888"/>
  <c r="C136" i="4888"/>
  <c r="D136" i="4888"/>
  <c r="F136" i="4888"/>
  <c r="E136" i="4888"/>
  <c r="E133" i="4888"/>
  <c r="D133" i="4888"/>
  <c r="F133" i="4888"/>
  <c r="G133" i="4888"/>
  <c r="C133" i="4888"/>
  <c r="F127" i="4888"/>
  <c r="D127" i="4888"/>
  <c r="E127" i="4888"/>
  <c r="C127" i="4888"/>
  <c r="G127" i="4888"/>
  <c r="D155" i="4888"/>
  <c r="G155" i="4888"/>
  <c r="F155" i="4888"/>
  <c r="C155" i="4888"/>
  <c r="E155" i="4888"/>
  <c r="C140" i="4888"/>
  <c r="D140" i="4888"/>
  <c r="F140" i="4888"/>
  <c r="E140" i="4888"/>
  <c r="G140" i="4888"/>
  <c r="E130" i="4888"/>
  <c r="G130" i="4888"/>
  <c r="C130" i="4888"/>
  <c r="D130" i="4888"/>
  <c r="M31" i="25582" s="1"/>
  <c r="F130" i="4888"/>
  <c r="J31" i="25582" l="1"/>
  <c r="J11" i="25582"/>
  <c r="H11" i="25582"/>
  <c r="H31" i="25582"/>
  <c r="F11" i="25582"/>
  <c r="F31" i="25582"/>
  <c r="I11" i="25582"/>
  <c r="I31" i="25582"/>
  <c r="G11" i="25582"/>
  <c r="G31" i="25582"/>
  <c r="L11" i="25582"/>
  <c r="K11" i="25582"/>
  <c r="K31" i="25582"/>
  <c r="M11" i="25582"/>
  <c r="N31" i="25582" l="1"/>
  <c r="N11" i="25582"/>
  <c r="B183" i="25580" l="1"/>
  <c r="G207" i="25580" l="1"/>
  <c r="F195" i="25580"/>
  <c r="D184" i="25580"/>
  <c r="F183" i="25580"/>
  <c r="C183" i="25580"/>
  <c r="D183" i="25580"/>
  <c r="G183" i="25580"/>
  <c r="E183" i="25580"/>
  <c r="B183" i="3584" l="1"/>
  <c r="G207" i="3584" l="1"/>
  <c r="F195" i="3584"/>
  <c r="E183" i="3584"/>
  <c r="F183" i="3584"/>
  <c r="C183" i="3584"/>
  <c r="D183" i="3584"/>
  <c r="G183" i="3584"/>
  <c r="B185" i="3584" l="1"/>
  <c r="B184" i="3584"/>
  <c r="G209" i="3584" l="1"/>
  <c r="G208" i="3584"/>
  <c r="F197" i="3584"/>
  <c r="F196" i="3584"/>
  <c r="D186" i="3584"/>
  <c r="C185" i="3584"/>
  <c r="G185" i="3584"/>
  <c r="D185" i="3584"/>
  <c r="E185" i="3584"/>
  <c r="F185" i="3584"/>
  <c r="C184" i="3584"/>
  <c r="E184" i="3584"/>
  <c r="F184" i="3584"/>
  <c r="G184" i="3584"/>
  <c r="D184" i="3584"/>
  <c r="B178" i="1" l="1"/>
  <c r="G202" i="1" l="1"/>
  <c r="E190" i="1"/>
  <c r="F190" i="1"/>
  <c r="B176" i="1"/>
  <c r="G200" i="1" l="1"/>
  <c r="B175" i="1"/>
  <c r="G199" i="1" l="1"/>
  <c r="D176" i="1"/>
  <c r="B174" i="1"/>
  <c r="G198" i="1" l="1"/>
  <c r="D175" i="1"/>
  <c r="B172" i="1" l="1"/>
  <c r="G196" i="1" l="1"/>
  <c r="B171" i="1"/>
  <c r="D172" i="1" l="1"/>
  <c r="B170" i="1"/>
  <c r="D171" i="1" l="1"/>
  <c r="B169" i="1"/>
  <c r="D170" i="1" l="1"/>
  <c r="B168" i="1"/>
  <c r="B167" i="1" l="1"/>
  <c r="D169" i="1"/>
  <c r="D168" i="1" l="1"/>
  <c r="B166" i="1"/>
  <c r="G190" i="1" l="1"/>
  <c r="B165" i="1"/>
  <c r="F178" i="1"/>
  <c r="E178" i="1"/>
  <c r="E176" i="1"/>
  <c r="E175" i="1"/>
  <c r="E174" i="1"/>
  <c r="E172" i="1"/>
  <c r="E171" i="1"/>
  <c r="E170" i="1"/>
  <c r="E169" i="1"/>
  <c r="E168" i="1"/>
  <c r="D167" i="1"/>
  <c r="E167" i="1"/>
  <c r="D166" i="1" l="1"/>
  <c r="B164" i="1"/>
  <c r="D165" i="1" l="1"/>
  <c r="B163" i="1"/>
  <c r="F176" i="1"/>
  <c r="D164" i="1" l="1"/>
  <c r="B162" i="1"/>
  <c r="F175" i="1"/>
  <c r="D163" i="1" l="1"/>
  <c r="F174" i="1"/>
  <c r="B161" i="1" l="1"/>
  <c r="D162" i="1" l="1"/>
  <c r="B160" i="1" l="1"/>
  <c r="F172" i="1" l="1"/>
  <c r="D161" i="1"/>
  <c r="B159" i="1" l="1"/>
  <c r="B158" i="1" l="1"/>
  <c r="F171" i="1"/>
  <c r="D160" i="1"/>
  <c r="D159" i="1" l="1"/>
  <c r="F170" i="1"/>
  <c r="B157" i="1" l="1"/>
  <c r="F169" i="1" l="1"/>
  <c r="D158" i="1"/>
  <c r="B156" i="1" l="1"/>
  <c r="F168" i="1" l="1"/>
  <c r="D157" i="1"/>
  <c r="B155" i="1" l="1"/>
  <c r="B154" i="1" l="1"/>
  <c r="F167" i="1"/>
  <c r="D156" i="1"/>
  <c r="E155" i="1" l="1"/>
  <c r="G178" i="1"/>
  <c r="F166" i="1"/>
  <c r="E166" i="1"/>
  <c r="E165" i="1"/>
  <c r="E164" i="1"/>
  <c r="E163" i="1"/>
  <c r="E162" i="1"/>
  <c r="E161" i="1"/>
  <c r="E160" i="1"/>
  <c r="E159" i="1"/>
  <c r="E158" i="1"/>
  <c r="E157" i="1"/>
  <c r="E156" i="1"/>
  <c r="D155" i="1"/>
  <c r="B153" i="1" l="1"/>
  <c r="B115" i="1" l="1"/>
  <c r="B117" i="1"/>
  <c r="B122" i="1"/>
  <c r="B132" i="1"/>
  <c r="B124" i="1"/>
  <c r="B131" i="1"/>
  <c r="B104" i="1"/>
  <c r="B96" i="1"/>
  <c r="B88" i="1"/>
  <c r="B80" i="1"/>
  <c r="B76" i="1"/>
  <c r="B72" i="1"/>
  <c r="B64" i="1"/>
  <c r="B56" i="1"/>
  <c r="B52" i="1"/>
  <c r="B44" i="1"/>
  <c r="B36" i="1"/>
  <c r="B32" i="1"/>
  <c r="B20" i="1"/>
  <c r="B15" i="1"/>
  <c r="B11" i="1"/>
  <c r="B147" i="1"/>
  <c r="B148" i="1"/>
  <c r="B133" i="1"/>
  <c r="B126" i="1"/>
  <c r="B114" i="1"/>
  <c r="B140" i="1"/>
  <c r="B139" i="1"/>
  <c r="B123" i="1"/>
  <c r="B135" i="1"/>
  <c r="B103" i="1"/>
  <c r="B99" i="1"/>
  <c r="B95" i="1"/>
  <c r="B91" i="1"/>
  <c r="B87" i="1"/>
  <c r="B83" i="1"/>
  <c r="B79" i="1"/>
  <c r="B75" i="1"/>
  <c r="B71" i="1"/>
  <c r="B67" i="1"/>
  <c r="B63" i="1"/>
  <c r="B59" i="1"/>
  <c r="B55" i="1"/>
  <c r="B51" i="1"/>
  <c r="B47" i="1"/>
  <c r="B43" i="1"/>
  <c r="B39" i="1"/>
  <c r="B35" i="1"/>
  <c r="B31" i="1"/>
  <c r="B27" i="1"/>
  <c r="B23" i="1"/>
  <c r="B19" i="1"/>
  <c r="B14" i="1"/>
  <c r="B10" i="1"/>
  <c r="B109" i="1"/>
  <c r="B111" i="1"/>
  <c r="B152" i="1"/>
  <c r="B100" i="1"/>
  <c r="B92" i="1"/>
  <c r="B84" i="1"/>
  <c r="B68" i="1"/>
  <c r="B60" i="1"/>
  <c r="B48" i="1"/>
  <c r="B40" i="1"/>
  <c r="B28" i="1"/>
  <c r="B24" i="1"/>
  <c r="B127" i="1"/>
  <c r="B149" i="1"/>
  <c r="B150" i="1"/>
  <c r="B142" i="1"/>
  <c r="B146" i="1"/>
  <c r="B119" i="1"/>
  <c r="B137" i="1"/>
  <c r="B125" i="1"/>
  <c r="B113" i="1"/>
  <c r="B136" i="1"/>
  <c r="B17" i="1"/>
  <c r="B106" i="1"/>
  <c r="B102" i="1"/>
  <c r="B98" i="1"/>
  <c r="B94" i="1"/>
  <c r="B90" i="1"/>
  <c r="B86" i="1"/>
  <c r="B82" i="1"/>
  <c r="B78" i="1"/>
  <c r="B74" i="1"/>
  <c r="B70" i="1"/>
  <c r="B66" i="1"/>
  <c r="B62" i="1"/>
  <c r="B58" i="1"/>
  <c r="B54" i="1"/>
  <c r="B50" i="1"/>
  <c r="B46" i="1"/>
  <c r="B42" i="1"/>
  <c r="B38" i="1"/>
  <c r="B34" i="1"/>
  <c r="B30" i="1"/>
  <c r="B26" i="1"/>
  <c r="B22" i="1"/>
  <c r="B18" i="1"/>
  <c r="B13" i="1"/>
  <c r="B9" i="1"/>
  <c r="B108" i="1"/>
  <c r="B110" i="1"/>
  <c r="B112" i="1"/>
  <c r="B134" i="1"/>
  <c r="B144" i="1"/>
  <c r="B129" i="1"/>
  <c r="B143" i="1"/>
  <c r="B118" i="1"/>
  <c r="B116" i="1"/>
  <c r="B128" i="1"/>
  <c r="B120" i="1"/>
  <c r="B121" i="1"/>
  <c r="B141" i="1"/>
  <c r="B105" i="1"/>
  <c r="B101" i="1"/>
  <c r="B97" i="1"/>
  <c r="B93" i="1"/>
  <c r="B89" i="1"/>
  <c r="B85" i="1"/>
  <c r="B81" i="1"/>
  <c r="B77" i="1"/>
  <c r="B73" i="1"/>
  <c r="B69" i="1"/>
  <c r="B65" i="1"/>
  <c r="B61" i="1"/>
  <c r="B57" i="1"/>
  <c r="B53" i="1"/>
  <c r="B49" i="1"/>
  <c r="B45" i="1"/>
  <c r="B41" i="1"/>
  <c r="B37" i="1"/>
  <c r="B33" i="1"/>
  <c r="B29" i="1"/>
  <c r="B25" i="1"/>
  <c r="B21" i="1"/>
  <c r="B16" i="1"/>
  <c r="B12" i="1"/>
  <c r="B8" i="1"/>
  <c r="B107" i="1"/>
  <c r="B130" i="1"/>
  <c r="B145" i="1"/>
  <c r="B151" i="1"/>
  <c r="D153" i="1"/>
  <c r="F165" i="1"/>
  <c r="D154" i="1"/>
  <c r="C210" i="1" l="1"/>
  <c r="C209" i="1"/>
  <c r="C208" i="1"/>
  <c r="C207" i="1"/>
  <c r="C206" i="1"/>
  <c r="C205" i="1"/>
  <c r="C204" i="1"/>
  <c r="C203" i="1"/>
  <c r="C202" i="1"/>
  <c r="C201" i="1"/>
  <c r="C200" i="1"/>
  <c r="C199" i="1"/>
  <c r="C198" i="1"/>
  <c r="E153" i="1"/>
  <c r="C197" i="1"/>
  <c r="C196" i="1"/>
  <c r="C190" i="1"/>
  <c r="F153" i="1"/>
  <c r="C153" i="1"/>
  <c r="G153" i="1"/>
  <c r="D145" i="1"/>
  <c r="C145" i="1"/>
  <c r="G145" i="1"/>
  <c r="E145" i="1"/>
  <c r="F145" i="1"/>
  <c r="G169" i="1"/>
  <c r="F157" i="1"/>
  <c r="G107" i="1"/>
  <c r="E107" i="1"/>
  <c r="D107" i="1"/>
  <c r="F107" i="1"/>
  <c r="C107" i="1"/>
  <c r="D12" i="1"/>
  <c r="C12" i="1"/>
  <c r="E12" i="1"/>
  <c r="C21" i="1"/>
  <c r="F21" i="1"/>
  <c r="E21" i="1"/>
  <c r="D21" i="1"/>
  <c r="F29" i="1"/>
  <c r="E29" i="1"/>
  <c r="C29" i="1"/>
  <c r="D29" i="1"/>
  <c r="C37" i="1"/>
  <c r="G37" i="1"/>
  <c r="D37" i="1"/>
  <c r="E37" i="1"/>
  <c r="F37" i="1"/>
  <c r="C45" i="1"/>
  <c r="D45" i="1"/>
  <c r="F45" i="1"/>
  <c r="G45" i="1"/>
  <c r="E45" i="1"/>
  <c r="C53" i="1"/>
  <c r="E53" i="1"/>
  <c r="D53" i="1"/>
  <c r="G53" i="1"/>
  <c r="F53" i="1"/>
  <c r="C61" i="1"/>
  <c r="G61" i="1"/>
  <c r="D61" i="1"/>
  <c r="E61" i="1"/>
  <c r="F61" i="1"/>
  <c r="G69" i="1"/>
  <c r="F69" i="1"/>
  <c r="E69" i="1"/>
  <c r="D69" i="1"/>
  <c r="C69" i="1"/>
  <c r="E77" i="1"/>
  <c r="G77" i="1"/>
  <c r="C77" i="1"/>
  <c r="D77" i="1"/>
  <c r="F77" i="1"/>
  <c r="E85" i="1"/>
  <c r="F85" i="1"/>
  <c r="C85" i="1"/>
  <c r="D85" i="1"/>
  <c r="G85" i="1"/>
  <c r="E93" i="1"/>
  <c r="G93" i="1"/>
  <c r="C93" i="1"/>
  <c r="D93" i="1"/>
  <c r="F93" i="1"/>
  <c r="E101" i="1"/>
  <c r="C101" i="1"/>
  <c r="F101" i="1"/>
  <c r="D101" i="1"/>
  <c r="G101" i="1"/>
  <c r="C141" i="1"/>
  <c r="E141" i="1"/>
  <c r="D141" i="1"/>
  <c r="G141" i="1"/>
  <c r="F141" i="1"/>
  <c r="G165" i="1"/>
  <c r="D120" i="1"/>
  <c r="C120" i="1"/>
  <c r="F120" i="1"/>
  <c r="G120" i="1"/>
  <c r="E120" i="1"/>
  <c r="G116" i="1"/>
  <c r="F116" i="1"/>
  <c r="E116" i="1"/>
  <c r="D116" i="1"/>
  <c r="C116" i="1"/>
  <c r="G143" i="1"/>
  <c r="C143" i="1"/>
  <c r="F143" i="1"/>
  <c r="E143" i="1"/>
  <c r="D143" i="1"/>
  <c r="G167" i="1"/>
  <c r="F155" i="1"/>
  <c r="C144" i="1"/>
  <c r="G144" i="1"/>
  <c r="D144" i="1"/>
  <c r="E144" i="1"/>
  <c r="F144" i="1"/>
  <c r="G168" i="1"/>
  <c r="F156" i="1"/>
  <c r="C112" i="1"/>
  <c r="E112" i="1"/>
  <c r="G112" i="1"/>
  <c r="F112" i="1"/>
  <c r="D112" i="1"/>
  <c r="C108" i="1"/>
  <c r="G108" i="1"/>
  <c r="D108" i="1"/>
  <c r="F108" i="1"/>
  <c r="E108" i="1"/>
  <c r="D13" i="1"/>
  <c r="C13" i="1"/>
  <c r="E13" i="1"/>
  <c r="D22" i="1"/>
  <c r="F22" i="1"/>
  <c r="C22" i="1"/>
  <c r="E22" i="1"/>
  <c r="C30" i="1"/>
  <c r="E30" i="1"/>
  <c r="F30" i="1"/>
  <c r="D30" i="1"/>
  <c r="G38" i="1"/>
  <c r="D38" i="1"/>
  <c r="C38" i="1"/>
  <c r="E38" i="1"/>
  <c r="F38" i="1"/>
  <c r="C46" i="1"/>
  <c r="G46" i="1"/>
  <c r="F46" i="1"/>
  <c r="E46" i="1"/>
  <c r="D46" i="1"/>
  <c r="G54" i="1"/>
  <c r="F54" i="1"/>
  <c r="D54" i="1"/>
  <c r="E54" i="1"/>
  <c r="C54" i="1"/>
  <c r="C62" i="1"/>
  <c r="D62" i="1"/>
  <c r="G62" i="1"/>
  <c r="E62" i="1"/>
  <c r="F62" i="1"/>
  <c r="G70" i="1"/>
  <c r="F70" i="1"/>
  <c r="C70" i="1"/>
  <c r="E70" i="1"/>
  <c r="D70" i="1"/>
  <c r="C78" i="1"/>
  <c r="F78" i="1"/>
  <c r="E78" i="1"/>
  <c r="G78" i="1"/>
  <c r="D78" i="1"/>
  <c r="G86" i="1"/>
  <c r="C86" i="1"/>
  <c r="F86" i="1"/>
  <c r="E86" i="1"/>
  <c r="D86" i="1"/>
  <c r="G94" i="1"/>
  <c r="C94" i="1"/>
  <c r="D94" i="1"/>
  <c r="F94" i="1"/>
  <c r="E94" i="1"/>
  <c r="C102" i="1"/>
  <c r="G102" i="1"/>
  <c r="E102" i="1"/>
  <c r="F102" i="1"/>
  <c r="D102" i="1"/>
  <c r="D17" i="1"/>
  <c r="E17" i="1"/>
  <c r="C17" i="1"/>
  <c r="E113" i="1"/>
  <c r="F113" i="1"/>
  <c r="G113" i="1"/>
  <c r="C113" i="1"/>
  <c r="D113" i="1"/>
  <c r="E137" i="1"/>
  <c r="C137" i="1"/>
  <c r="D137" i="1"/>
  <c r="G137" i="1"/>
  <c r="F137" i="1"/>
  <c r="G161" i="1"/>
  <c r="G146" i="1"/>
  <c r="D146" i="1"/>
  <c r="C146" i="1"/>
  <c r="E146" i="1"/>
  <c r="F146" i="1"/>
  <c r="G170" i="1"/>
  <c r="F158" i="1"/>
  <c r="D150" i="1"/>
  <c r="G150" i="1"/>
  <c r="C150" i="1"/>
  <c r="E150" i="1"/>
  <c r="G174" i="1"/>
  <c r="F162" i="1"/>
  <c r="E127" i="1"/>
  <c r="G127" i="1"/>
  <c r="F127" i="1"/>
  <c r="D127" i="1"/>
  <c r="C127" i="1"/>
  <c r="D24" i="1"/>
  <c r="E24" i="1"/>
  <c r="C24" i="1"/>
  <c r="F24" i="1"/>
  <c r="C40" i="1"/>
  <c r="D40" i="1"/>
  <c r="G40" i="1"/>
  <c r="E40" i="1"/>
  <c r="F40" i="1"/>
  <c r="C60" i="1"/>
  <c r="G60" i="1"/>
  <c r="D60" i="1"/>
  <c r="F60" i="1"/>
  <c r="E60" i="1"/>
  <c r="E84" i="1"/>
  <c r="D84" i="1"/>
  <c r="C84" i="1"/>
  <c r="G84" i="1"/>
  <c r="F84" i="1"/>
  <c r="E100" i="1"/>
  <c r="F100" i="1"/>
  <c r="D100" i="1"/>
  <c r="G100" i="1"/>
  <c r="C100" i="1"/>
  <c r="C111" i="1"/>
  <c r="G111" i="1"/>
  <c r="D111" i="1"/>
  <c r="E111" i="1"/>
  <c r="F111" i="1"/>
  <c r="D10" i="1"/>
  <c r="C10" i="1"/>
  <c r="C19" i="1"/>
  <c r="E19" i="1"/>
  <c r="D19" i="1"/>
  <c r="C27" i="1"/>
  <c r="E27" i="1"/>
  <c r="D27" i="1"/>
  <c r="F27" i="1"/>
  <c r="F35" i="1"/>
  <c r="D35" i="1"/>
  <c r="G35" i="1"/>
  <c r="E35" i="1"/>
  <c r="C35" i="1"/>
  <c r="C43" i="1"/>
  <c r="G43" i="1"/>
  <c r="E43" i="1"/>
  <c r="D43" i="1"/>
  <c r="F43" i="1"/>
  <c r="E51" i="1"/>
  <c r="C51" i="1"/>
  <c r="F51" i="1"/>
  <c r="D51" i="1"/>
  <c r="G51" i="1"/>
  <c r="C59" i="1"/>
  <c r="F59" i="1"/>
  <c r="E59" i="1"/>
  <c r="G59" i="1"/>
  <c r="D59" i="1"/>
  <c r="E67" i="1"/>
  <c r="D67" i="1"/>
  <c r="G67" i="1"/>
  <c r="F67" i="1"/>
  <c r="C67" i="1"/>
  <c r="F75" i="1"/>
  <c r="E75" i="1"/>
  <c r="C75" i="1"/>
  <c r="G75" i="1"/>
  <c r="D75" i="1"/>
  <c r="C83" i="1"/>
  <c r="D83" i="1"/>
  <c r="G83" i="1"/>
  <c r="E83" i="1"/>
  <c r="F83" i="1"/>
  <c r="F91" i="1"/>
  <c r="D91" i="1"/>
  <c r="G91" i="1"/>
  <c r="E91" i="1"/>
  <c r="C91" i="1"/>
  <c r="F99" i="1"/>
  <c r="D99" i="1"/>
  <c r="G99" i="1"/>
  <c r="E99" i="1"/>
  <c r="C99" i="1"/>
  <c r="C135" i="1"/>
  <c r="G135" i="1"/>
  <c r="E135" i="1"/>
  <c r="D135" i="1"/>
  <c r="F135" i="1"/>
  <c r="G159" i="1"/>
  <c r="F139" i="1"/>
  <c r="C139" i="1"/>
  <c r="G139" i="1"/>
  <c r="E139" i="1"/>
  <c r="G163" i="1"/>
  <c r="G114" i="1"/>
  <c r="E114" i="1"/>
  <c r="C114" i="1"/>
  <c r="D114" i="1"/>
  <c r="F114" i="1"/>
  <c r="F133" i="1"/>
  <c r="E133" i="1"/>
  <c r="G133" i="1"/>
  <c r="D133" i="1"/>
  <c r="C133" i="1"/>
  <c r="G157" i="1"/>
  <c r="B215" i="1"/>
  <c r="C147" i="1"/>
  <c r="D147" i="1"/>
  <c r="G147" i="1"/>
  <c r="F147" i="1"/>
  <c r="E147" i="1"/>
  <c r="G171" i="1"/>
  <c r="F159" i="1"/>
  <c r="C15" i="1"/>
  <c r="D15" i="1"/>
  <c r="E15" i="1"/>
  <c r="G32" i="1"/>
  <c r="E32" i="1"/>
  <c r="F32" i="1"/>
  <c r="C32" i="1"/>
  <c r="D32" i="1"/>
  <c r="F44" i="1"/>
  <c r="G44" i="1"/>
  <c r="D44" i="1"/>
  <c r="C44" i="1"/>
  <c r="E44" i="1"/>
  <c r="D56" i="1"/>
  <c r="G56" i="1"/>
  <c r="E56" i="1"/>
  <c r="C56" i="1"/>
  <c r="F56" i="1"/>
  <c r="E72" i="1"/>
  <c r="C72" i="1"/>
  <c r="F72" i="1"/>
  <c r="G72" i="1"/>
  <c r="D72" i="1"/>
  <c r="F80" i="1"/>
  <c r="D80" i="1"/>
  <c r="E80" i="1"/>
  <c r="G80" i="1"/>
  <c r="C80" i="1"/>
  <c r="F96" i="1"/>
  <c r="D96" i="1"/>
  <c r="C96" i="1"/>
  <c r="G96" i="1"/>
  <c r="E96" i="1"/>
  <c r="E131" i="1"/>
  <c r="F131" i="1"/>
  <c r="C131" i="1"/>
  <c r="D131" i="1"/>
  <c r="G131" i="1"/>
  <c r="G155" i="1"/>
  <c r="D132" i="1"/>
  <c r="C132" i="1"/>
  <c r="G132" i="1"/>
  <c r="F132" i="1"/>
  <c r="E132" i="1"/>
  <c r="G156" i="1"/>
  <c r="E117" i="1"/>
  <c r="G117" i="1"/>
  <c r="F117" i="1"/>
  <c r="C117" i="1"/>
  <c r="D117" i="1"/>
  <c r="B138" i="1"/>
  <c r="G151" i="1"/>
  <c r="C151" i="1"/>
  <c r="D151" i="1"/>
  <c r="F151" i="1"/>
  <c r="E151" i="1"/>
  <c r="G175" i="1"/>
  <c r="F163" i="1"/>
  <c r="G130" i="1"/>
  <c r="E130" i="1"/>
  <c r="D130" i="1"/>
  <c r="F130" i="1"/>
  <c r="C130" i="1"/>
  <c r="G154" i="1"/>
  <c r="C8" i="1"/>
  <c r="C178" i="1"/>
  <c r="C176" i="1"/>
  <c r="C175" i="1"/>
  <c r="C174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6" i="1"/>
  <c r="E16" i="1"/>
  <c r="D16" i="1"/>
  <c r="F25" i="1"/>
  <c r="E25" i="1"/>
  <c r="C25" i="1"/>
  <c r="D25" i="1"/>
  <c r="F33" i="1"/>
  <c r="C33" i="1"/>
  <c r="E33" i="1"/>
  <c r="D33" i="1"/>
  <c r="G33" i="1"/>
  <c r="C41" i="1"/>
  <c r="F41" i="1"/>
  <c r="E41" i="1"/>
  <c r="D41" i="1"/>
  <c r="G41" i="1"/>
  <c r="C49" i="1"/>
  <c r="F49" i="1"/>
  <c r="E49" i="1"/>
  <c r="D49" i="1"/>
  <c r="G49" i="1"/>
  <c r="G57" i="1"/>
  <c r="F57" i="1"/>
  <c r="D57" i="1"/>
  <c r="C57" i="1"/>
  <c r="E57" i="1"/>
  <c r="F65" i="1"/>
  <c r="D65" i="1"/>
  <c r="G65" i="1"/>
  <c r="E65" i="1"/>
  <c r="C65" i="1"/>
  <c r="C73" i="1"/>
  <c r="G73" i="1"/>
  <c r="D73" i="1"/>
  <c r="E73" i="1"/>
  <c r="F73" i="1"/>
  <c r="E81" i="1"/>
  <c r="G81" i="1"/>
  <c r="F81" i="1"/>
  <c r="D81" i="1"/>
  <c r="C81" i="1"/>
  <c r="C89" i="1"/>
  <c r="E89" i="1"/>
  <c r="F89" i="1"/>
  <c r="G89" i="1"/>
  <c r="D89" i="1"/>
  <c r="E97" i="1"/>
  <c r="D97" i="1"/>
  <c r="C97" i="1"/>
  <c r="G97" i="1"/>
  <c r="F97" i="1"/>
  <c r="G105" i="1"/>
  <c r="E105" i="1"/>
  <c r="F105" i="1"/>
  <c r="C105" i="1"/>
  <c r="D105" i="1"/>
  <c r="F121" i="1"/>
  <c r="D121" i="1"/>
  <c r="G121" i="1"/>
  <c r="C121" i="1"/>
  <c r="E121" i="1"/>
  <c r="E128" i="1"/>
  <c r="D128" i="1"/>
  <c r="G128" i="1"/>
  <c r="F128" i="1"/>
  <c r="C128" i="1"/>
  <c r="E118" i="1"/>
  <c r="F118" i="1"/>
  <c r="C118" i="1"/>
  <c r="G118" i="1"/>
  <c r="D118" i="1"/>
  <c r="G129" i="1"/>
  <c r="C129" i="1"/>
  <c r="F129" i="1"/>
  <c r="D129" i="1"/>
  <c r="E129" i="1"/>
  <c r="F134" i="1"/>
  <c r="D134" i="1"/>
  <c r="C134" i="1"/>
  <c r="E134" i="1"/>
  <c r="G134" i="1"/>
  <c r="G158" i="1"/>
  <c r="E110" i="1"/>
  <c r="F110" i="1"/>
  <c r="D110" i="1"/>
  <c r="G110" i="1"/>
  <c r="C110" i="1"/>
  <c r="C9" i="1"/>
  <c r="D9" i="1"/>
  <c r="C18" i="1"/>
  <c r="E18" i="1"/>
  <c r="D18" i="1"/>
  <c r="F26" i="1"/>
  <c r="C26" i="1"/>
  <c r="D26" i="1"/>
  <c r="E26" i="1"/>
  <c r="G34" i="1"/>
  <c r="F34" i="1"/>
  <c r="E34" i="1"/>
  <c r="D34" i="1"/>
  <c r="C34" i="1"/>
  <c r="C42" i="1"/>
  <c r="F42" i="1"/>
  <c r="G42" i="1"/>
  <c r="D42" i="1"/>
  <c r="E42" i="1"/>
  <c r="C50" i="1"/>
  <c r="D50" i="1"/>
  <c r="F50" i="1"/>
  <c r="G50" i="1"/>
  <c r="E50" i="1"/>
  <c r="F58" i="1"/>
  <c r="D58" i="1"/>
  <c r="E58" i="1"/>
  <c r="C58" i="1"/>
  <c r="G58" i="1"/>
  <c r="E66" i="1"/>
  <c r="G66" i="1"/>
  <c r="D66" i="1"/>
  <c r="F66" i="1"/>
  <c r="C66" i="1"/>
  <c r="F74" i="1"/>
  <c r="D74" i="1"/>
  <c r="E74" i="1"/>
  <c r="C74" i="1"/>
  <c r="G74" i="1"/>
  <c r="C82" i="1"/>
  <c r="D82" i="1"/>
  <c r="G82" i="1"/>
  <c r="E82" i="1"/>
  <c r="F82" i="1"/>
  <c r="F90" i="1"/>
  <c r="G90" i="1"/>
  <c r="E90" i="1"/>
  <c r="C90" i="1"/>
  <c r="D90" i="1"/>
  <c r="F98" i="1"/>
  <c r="E98" i="1"/>
  <c r="C98" i="1"/>
  <c r="G98" i="1"/>
  <c r="D98" i="1"/>
  <c r="C106" i="1"/>
  <c r="F106" i="1"/>
  <c r="D106" i="1"/>
  <c r="G106" i="1"/>
  <c r="E106" i="1"/>
  <c r="C136" i="1"/>
  <c r="D136" i="1"/>
  <c r="E136" i="1"/>
  <c r="G136" i="1"/>
  <c r="F136" i="1"/>
  <c r="G160" i="1"/>
  <c r="G125" i="1"/>
  <c r="D125" i="1"/>
  <c r="C125" i="1"/>
  <c r="E125" i="1"/>
  <c r="F125" i="1"/>
  <c r="C119" i="1"/>
  <c r="F119" i="1"/>
  <c r="D119" i="1"/>
  <c r="E119" i="1"/>
  <c r="G119" i="1"/>
  <c r="F142" i="1"/>
  <c r="D142" i="1"/>
  <c r="G142" i="1"/>
  <c r="E142" i="1"/>
  <c r="C142" i="1"/>
  <c r="G166" i="1"/>
  <c r="F154" i="1"/>
  <c r="E154" i="1"/>
  <c r="C149" i="1"/>
  <c r="G149" i="1"/>
  <c r="D149" i="1"/>
  <c r="F149" i="1"/>
  <c r="E149" i="1"/>
  <c r="F161" i="1"/>
  <c r="C28" i="1"/>
  <c r="E28" i="1"/>
  <c r="D28" i="1"/>
  <c r="F28" i="1"/>
  <c r="E48" i="1"/>
  <c r="C48" i="1"/>
  <c r="D48" i="1"/>
  <c r="F48" i="1"/>
  <c r="G48" i="1"/>
  <c r="F68" i="1"/>
  <c r="G68" i="1"/>
  <c r="D68" i="1"/>
  <c r="C68" i="1"/>
  <c r="E68" i="1"/>
  <c r="E92" i="1"/>
  <c r="C92" i="1"/>
  <c r="F92" i="1"/>
  <c r="D92" i="1"/>
  <c r="G92" i="1"/>
  <c r="D152" i="1"/>
  <c r="C152" i="1"/>
  <c r="G152" i="1"/>
  <c r="F152" i="1"/>
  <c r="E152" i="1"/>
  <c r="G176" i="1"/>
  <c r="F164" i="1"/>
  <c r="C109" i="1"/>
  <c r="G109" i="1"/>
  <c r="F109" i="1"/>
  <c r="D109" i="1"/>
  <c r="E109" i="1"/>
  <c r="C14" i="1"/>
  <c r="E14" i="1"/>
  <c r="D14" i="1"/>
  <c r="D23" i="1"/>
  <c r="E23" i="1"/>
  <c r="C23" i="1"/>
  <c r="F23" i="1"/>
  <c r="C31" i="1"/>
  <c r="D31" i="1"/>
  <c r="F31" i="1"/>
  <c r="E31" i="1"/>
  <c r="C39" i="1"/>
  <c r="E39" i="1"/>
  <c r="D39" i="1"/>
  <c r="F39" i="1"/>
  <c r="G39" i="1"/>
  <c r="G47" i="1"/>
  <c r="E47" i="1"/>
  <c r="C47" i="1"/>
  <c r="D47" i="1"/>
  <c r="F47" i="1"/>
  <c r="C55" i="1"/>
  <c r="E55" i="1"/>
  <c r="G55" i="1"/>
  <c r="D55" i="1"/>
  <c r="F55" i="1"/>
  <c r="G63" i="1"/>
  <c r="F63" i="1"/>
  <c r="C63" i="1"/>
  <c r="E63" i="1"/>
  <c r="D63" i="1"/>
  <c r="C71" i="1"/>
  <c r="G71" i="1"/>
  <c r="D71" i="1"/>
  <c r="E71" i="1"/>
  <c r="F71" i="1"/>
  <c r="G79" i="1"/>
  <c r="E79" i="1"/>
  <c r="D79" i="1"/>
  <c r="F79" i="1"/>
  <c r="C79" i="1"/>
  <c r="D87" i="1"/>
  <c r="E87" i="1"/>
  <c r="C87" i="1"/>
  <c r="G87" i="1"/>
  <c r="F87" i="1"/>
  <c r="E95" i="1"/>
  <c r="F95" i="1"/>
  <c r="D95" i="1"/>
  <c r="G95" i="1"/>
  <c r="C95" i="1"/>
  <c r="C103" i="1"/>
  <c r="F103" i="1"/>
  <c r="G103" i="1"/>
  <c r="E103" i="1"/>
  <c r="D103" i="1"/>
  <c r="C123" i="1"/>
  <c r="G123" i="1"/>
  <c r="D123" i="1"/>
  <c r="E123" i="1"/>
  <c r="F123" i="1"/>
  <c r="F140" i="1"/>
  <c r="C140" i="1"/>
  <c r="E140" i="1"/>
  <c r="D140" i="1"/>
  <c r="G140" i="1"/>
  <c r="G164" i="1"/>
  <c r="G126" i="1"/>
  <c r="C126" i="1"/>
  <c r="E126" i="1"/>
  <c r="F126" i="1"/>
  <c r="D126" i="1"/>
  <c r="G148" i="1"/>
  <c r="C148" i="1"/>
  <c r="D148" i="1"/>
  <c r="E148" i="1"/>
  <c r="F148" i="1"/>
  <c r="G172" i="1"/>
  <c r="F160" i="1"/>
  <c r="E11" i="1"/>
  <c r="C11" i="1"/>
  <c r="D11" i="1"/>
  <c r="C20" i="1"/>
  <c r="F20" i="1"/>
  <c r="E20" i="1"/>
  <c r="D20" i="1"/>
  <c r="F36" i="1"/>
  <c r="E36" i="1"/>
  <c r="G36" i="1"/>
  <c r="C36" i="1"/>
  <c r="D36" i="1"/>
  <c r="E52" i="1"/>
  <c r="C52" i="1"/>
  <c r="D52" i="1"/>
  <c r="G52" i="1"/>
  <c r="F52" i="1"/>
  <c r="G64" i="1"/>
  <c r="D64" i="1"/>
  <c r="C64" i="1"/>
  <c r="F64" i="1"/>
  <c r="E64" i="1"/>
  <c r="C76" i="1"/>
  <c r="D76" i="1"/>
  <c r="E76" i="1"/>
  <c r="G76" i="1"/>
  <c r="F76" i="1"/>
  <c r="E88" i="1"/>
  <c r="D88" i="1"/>
  <c r="C88" i="1"/>
  <c r="F88" i="1"/>
  <c r="G88" i="1"/>
  <c r="D104" i="1"/>
  <c r="F104" i="1"/>
  <c r="E104" i="1"/>
  <c r="G104" i="1"/>
  <c r="C104" i="1"/>
  <c r="E124" i="1"/>
  <c r="D124" i="1"/>
  <c r="C124" i="1"/>
  <c r="F124" i="1"/>
  <c r="G124" i="1"/>
  <c r="E122" i="1"/>
  <c r="F122" i="1"/>
  <c r="G122" i="1"/>
  <c r="D122" i="1"/>
  <c r="C122" i="1"/>
  <c r="D115" i="1"/>
  <c r="F115" i="1"/>
  <c r="C115" i="1"/>
  <c r="G115" i="1"/>
  <c r="E115" i="1"/>
  <c r="D139" i="1" l="1"/>
  <c r="F150" i="1"/>
  <c r="E6" i="25582"/>
  <c r="E26" i="25582"/>
  <c r="H6" i="25582"/>
  <c r="H26" i="25582"/>
  <c r="L26" i="25582"/>
  <c r="L6" i="25582"/>
  <c r="D26" i="25582"/>
  <c r="D6" i="25582"/>
  <c r="M6" i="25582"/>
  <c r="M26" i="25582"/>
  <c r="J6" i="25582"/>
  <c r="J26" i="25582"/>
  <c r="C6" i="25582"/>
  <c r="C26" i="25582"/>
  <c r="G6" i="25582"/>
  <c r="G26" i="25582"/>
  <c r="I26" i="25582"/>
  <c r="I6" i="25582"/>
  <c r="B6" i="25582"/>
  <c r="B26" i="25582"/>
  <c r="E138" i="1"/>
  <c r="F138" i="1"/>
  <c r="C138" i="1"/>
  <c r="D138" i="1"/>
  <c r="G138" i="1"/>
  <c r="G162" i="1"/>
  <c r="F6" i="25582"/>
  <c r="F26" i="25582"/>
  <c r="K26" i="25582"/>
  <c r="K6" i="25582"/>
  <c r="N26" i="25582" l="1"/>
  <c r="N6" i="25582"/>
  <c r="B173" i="1" l="1"/>
  <c r="G197" i="1" l="1"/>
  <c r="G173" i="1"/>
  <c r="D173" i="1"/>
  <c r="F173" i="1"/>
  <c r="E173" i="1"/>
  <c r="C173" i="1"/>
  <c r="D174" i="1"/>
  <c r="B177" i="1" l="1"/>
  <c r="G201" i="1" l="1"/>
  <c r="E177" i="1"/>
  <c r="G177" i="1"/>
  <c r="C177" i="1"/>
  <c r="F177" i="1"/>
  <c r="D177" i="1"/>
  <c r="D178" i="1"/>
  <c r="B188" i="1" l="1"/>
  <c r="F200" i="1" l="1"/>
  <c r="E188" i="1"/>
  <c r="F188" i="1"/>
  <c r="G188" i="1"/>
  <c r="C188" i="1"/>
  <c r="B189" i="1"/>
  <c r="F201" i="1" l="1"/>
  <c r="D190" i="1"/>
  <c r="C189" i="1"/>
  <c r="G189" i="1"/>
  <c r="F189" i="1"/>
  <c r="E189" i="1"/>
  <c r="D189" i="1"/>
  <c r="B187" i="1" l="1"/>
  <c r="F199" i="1" l="1"/>
  <c r="B186" i="1"/>
  <c r="E187" i="1"/>
  <c r="F187" i="1"/>
  <c r="G187" i="1"/>
  <c r="C187" i="1"/>
  <c r="D188" i="1"/>
  <c r="G210" i="1" l="1"/>
  <c r="F198" i="1"/>
  <c r="D187" i="1"/>
  <c r="E186" i="1"/>
  <c r="F186" i="1"/>
  <c r="G186" i="1"/>
  <c r="C186" i="1"/>
  <c r="B185" i="1" l="1"/>
  <c r="G209" i="1" l="1"/>
  <c r="F197" i="1"/>
  <c r="E185" i="1"/>
  <c r="G185" i="1"/>
  <c r="C185" i="1"/>
  <c r="F185" i="1"/>
  <c r="D186" i="1"/>
  <c r="B184" i="1" l="1"/>
  <c r="B183" i="1"/>
  <c r="G208" i="1" l="1"/>
  <c r="G207" i="1"/>
  <c r="F196" i="1"/>
  <c r="E183" i="1"/>
  <c r="F183" i="1"/>
  <c r="G183" i="1"/>
  <c r="C183" i="1"/>
  <c r="D184" i="1"/>
  <c r="E184" i="1"/>
  <c r="F184" i="1"/>
  <c r="G184" i="1"/>
  <c r="C184" i="1"/>
  <c r="D185" i="1"/>
  <c r="B182" i="1" l="1"/>
  <c r="G206" i="1" l="1"/>
  <c r="E182" i="1"/>
  <c r="F182" i="1"/>
  <c r="G182" i="1"/>
  <c r="C182" i="1"/>
  <c r="D183" i="1"/>
  <c r="B181" i="1" l="1"/>
  <c r="G205" i="1" l="1"/>
  <c r="B180" i="1"/>
  <c r="E181" i="1"/>
  <c r="F181" i="1"/>
  <c r="G181" i="1"/>
  <c r="C181" i="1"/>
  <c r="D182" i="1"/>
  <c r="G204" i="1" l="1"/>
  <c r="D181" i="1"/>
  <c r="B179" i="1"/>
  <c r="E180" i="1"/>
  <c r="F180" i="1"/>
  <c r="G180" i="1"/>
  <c r="C180" i="1"/>
  <c r="G203" i="1" l="1"/>
  <c r="D180" i="1"/>
  <c r="E179" i="1"/>
  <c r="D179" i="1"/>
  <c r="F179" i="1"/>
  <c r="G179" i="1"/>
  <c r="C179" i="1"/>
  <c r="B195" i="1" l="1"/>
  <c r="B194" i="1"/>
  <c r="F207" i="1" l="1"/>
  <c r="F206" i="1"/>
  <c r="D196" i="1"/>
  <c r="D195" i="1"/>
  <c r="C195" i="1"/>
  <c r="F195" i="1"/>
  <c r="G195" i="1"/>
  <c r="E195" i="1"/>
  <c r="E194" i="1"/>
  <c r="G194" i="1"/>
  <c r="C194" i="1"/>
  <c r="F194" i="1"/>
  <c r="B193" i="1" l="1"/>
  <c r="F205" i="1" l="1"/>
  <c r="D194" i="1"/>
  <c r="E193" i="1"/>
  <c r="G193" i="1"/>
  <c r="C193" i="1"/>
  <c r="F193" i="1"/>
  <c r="B192" i="1" l="1"/>
  <c r="F204" i="1" l="1"/>
  <c r="E192" i="1"/>
  <c r="G192" i="1"/>
  <c r="C192" i="1"/>
  <c r="F192" i="1"/>
  <c r="D193" i="1"/>
  <c r="B191" i="1" l="1"/>
  <c r="F203" i="1" l="1"/>
  <c r="E191" i="1"/>
  <c r="D191" i="1"/>
  <c r="G191" i="1"/>
  <c r="C191" i="1"/>
  <c r="F191" i="1"/>
  <c r="D192" i="1"/>
  <c r="B197" i="4888" l="1"/>
  <c r="B196" i="4888"/>
  <c r="B195" i="4888"/>
  <c r="B194" i="4888"/>
  <c r="B192" i="4888"/>
  <c r="B188" i="4888"/>
  <c r="B185" i="4888"/>
  <c r="B191" i="4888"/>
  <c r="B187" i="4888"/>
  <c r="B189" i="4888"/>
  <c r="B190" i="4888"/>
  <c r="B186" i="4888"/>
  <c r="B193" i="4888"/>
  <c r="B181" i="4888"/>
  <c r="B184" i="4888"/>
  <c r="B171" i="4888"/>
  <c r="B172" i="4888"/>
  <c r="B183" i="4888"/>
  <c r="B175" i="4888"/>
  <c r="B180" i="4888"/>
  <c r="J171" i="4888"/>
  <c r="B176" i="4888"/>
  <c r="B178" i="4888"/>
  <c r="B177" i="4888"/>
  <c r="B173" i="4888"/>
  <c r="B179" i="4888"/>
  <c r="B174" i="4888"/>
  <c r="B182" i="4888"/>
  <c r="G210" i="4888" l="1"/>
  <c r="G209" i="4888"/>
  <c r="F209" i="4888"/>
  <c r="F208" i="4888"/>
  <c r="G208" i="4888"/>
  <c r="G207" i="4888"/>
  <c r="F207" i="4888"/>
  <c r="F206" i="4888"/>
  <c r="G206" i="4888"/>
  <c r="G205" i="4888"/>
  <c r="F205" i="4888"/>
  <c r="F204" i="4888"/>
  <c r="G204" i="4888"/>
  <c r="F203" i="4888"/>
  <c r="G203" i="4888"/>
  <c r="G202" i="4888"/>
  <c r="F202" i="4888"/>
  <c r="E202" i="4888"/>
  <c r="G201" i="4888"/>
  <c r="E201" i="4888"/>
  <c r="F201" i="4888"/>
  <c r="E200" i="4888"/>
  <c r="G200" i="4888"/>
  <c r="F200" i="4888"/>
  <c r="G199" i="4888"/>
  <c r="E199" i="4888"/>
  <c r="F199" i="4888"/>
  <c r="G198" i="4888"/>
  <c r="E198" i="4888"/>
  <c r="F198" i="4888"/>
  <c r="D198" i="4888"/>
  <c r="F174" i="4888"/>
  <c r="G174" i="4888"/>
  <c r="D174" i="4888"/>
  <c r="E174" i="4888"/>
  <c r="C174" i="4888"/>
  <c r="F175" i="4888"/>
  <c r="E175" i="4888"/>
  <c r="D175" i="4888"/>
  <c r="C175" i="4888"/>
  <c r="G175" i="4888"/>
  <c r="F182" i="4888"/>
  <c r="E182" i="4888"/>
  <c r="C182" i="4888"/>
  <c r="D182" i="4888"/>
  <c r="G182" i="4888"/>
  <c r="G177" i="4888"/>
  <c r="E177" i="4888"/>
  <c r="F177" i="4888"/>
  <c r="C177" i="4888"/>
  <c r="D177" i="4888"/>
  <c r="G180" i="4888"/>
  <c r="D180" i="4888"/>
  <c r="F180" i="4888"/>
  <c r="E180" i="4888"/>
  <c r="C180" i="4888"/>
  <c r="E171" i="4888"/>
  <c r="C171" i="4888"/>
  <c r="F171" i="4888"/>
  <c r="D171" i="4888"/>
  <c r="G171" i="4888"/>
  <c r="D186" i="4888"/>
  <c r="G186" i="4888"/>
  <c r="C186" i="4888"/>
  <c r="E186" i="4888"/>
  <c r="F186" i="4888"/>
  <c r="D191" i="4888"/>
  <c r="G191" i="4888"/>
  <c r="C191" i="4888"/>
  <c r="E191" i="4888"/>
  <c r="F191" i="4888"/>
  <c r="C194" i="4888"/>
  <c r="G194" i="4888"/>
  <c r="E194" i="4888"/>
  <c r="D194" i="4888"/>
  <c r="F194" i="4888"/>
  <c r="D184" i="4888"/>
  <c r="F184" i="4888"/>
  <c r="E184" i="4888"/>
  <c r="G184" i="4888"/>
  <c r="C184" i="4888"/>
  <c r="C195" i="4888"/>
  <c r="D195" i="4888"/>
  <c r="E195" i="4888"/>
  <c r="G195" i="4888"/>
  <c r="F195" i="4888"/>
  <c r="D178" i="4888"/>
  <c r="C178" i="4888"/>
  <c r="G178" i="4888"/>
  <c r="F178" i="4888"/>
  <c r="E178" i="4888"/>
  <c r="D190" i="4888"/>
  <c r="C190" i="4888"/>
  <c r="G190" i="4888"/>
  <c r="E190" i="4888"/>
  <c r="F190" i="4888"/>
  <c r="F179" i="4888"/>
  <c r="E179" i="4888"/>
  <c r="D179" i="4888"/>
  <c r="C179" i="4888"/>
  <c r="G179" i="4888"/>
  <c r="D176" i="4888"/>
  <c r="E176" i="4888"/>
  <c r="G176" i="4888"/>
  <c r="F176" i="4888"/>
  <c r="C176" i="4888"/>
  <c r="F183" i="4888"/>
  <c r="C183" i="4888"/>
  <c r="D183" i="4888"/>
  <c r="E183" i="4888"/>
  <c r="G183" i="4888"/>
  <c r="C181" i="4888"/>
  <c r="E181" i="4888"/>
  <c r="G181" i="4888"/>
  <c r="F181" i="4888"/>
  <c r="D181" i="4888"/>
  <c r="C189" i="4888"/>
  <c r="D189" i="4888"/>
  <c r="G189" i="4888"/>
  <c r="F189" i="4888"/>
  <c r="E189" i="4888"/>
  <c r="C188" i="4888"/>
  <c r="D188" i="4888"/>
  <c r="G188" i="4888"/>
  <c r="E188" i="4888"/>
  <c r="F188" i="4888"/>
  <c r="C196" i="4888"/>
  <c r="D196" i="4888"/>
  <c r="E196" i="4888"/>
  <c r="G196" i="4888"/>
  <c r="F196" i="4888"/>
  <c r="C185" i="4888"/>
  <c r="G185" i="4888"/>
  <c r="D185" i="4888"/>
  <c r="F185" i="4888"/>
  <c r="E185" i="4888"/>
  <c r="E173" i="4888"/>
  <c r="D173" i="4888"/>
  <c r="C173" i="4888"/>
  <c r="F173" i="4888"/>
  <c r="G173" i="4888"/>
  <c r="D172" i="4888"/>
  <c r="F172" i="4888"/>
  <c r="C172" i="4888"/>
  <c r="E172" i="4888"/>
  <c r="G172" i="4888"/>
  <c r="C193" i="4888"/>
  <c r="E193" i="4888"/>
  <c r="D193" i="4888"/>
  <c r="G193" i="4888"/>
  <c r="F193" i="4888"/>
  <c r="G187" i="4888"/>
  <c r="D187" i="4888"/>
  <c r="C187" i="4888"/>
  <c r="F187" i="4888"/>
  <c r="E187" i="4888"/>
  <c r="C192" i="4888"/>
  <c r="E192" i="4888"/>
  <c r="D192" i="4888"/>
  <c r="G192" i="4888"/>
  <c r="F192" i="4888"/>
  <c r="C197" i="4888"/>
  <c r="D197" i="4888"/>
  <c r="E197" i="4888"/>
  <c r="F197" i="4888"/>
  <c r="G197" i="4888"/>
  <c r="B210" i="25590" l="1"/>
  <c r="B210" i="25588" l="1"/>
  <c r="C210" i="25590"/>
  <c r="B209" i="25590" l="1"/>
  <c r="C210" i="25588"/>
  <c r="B208" i="25590"/>
  <c r="C209" i="25590" l="1"/>
  <c r="D209" i="25590"/>
  <c r="D210" i="25590"/>
  <c r="C208" i="25590"/>
  <c r="B209" i="25588"/>
  <c r="B208" i="25588" l="1"/>
  <c r="C209" i="25588"/>
  <c r="D209" i="25588"/>
  <c r="D210" i="25588"/>
  <c r="B207" i="25590"/>
  <c r="C207" i="25590" l="1"/>
  <c r="D208" i="25590"/>
  <c r="C208" i="25588"/>
  <c r="B206" i="25590"/>
  <c r="B206" i="25588" l="1"/>
  <c r="C206" i="25590"/>
  <c r="D207" i="25590"/>
  <c r="B207" i="25588"/>
  <c r="B205" i="25590"/>
  <c r="D206" i="25590" s="1"/>
  <c r="C205" i="25590" l="1"/>
  <c r="D207" i="25588"/>
  <c r="C207" i="25588"/>
  <c r="D208" i="25588"/>
  <c r="B205" i="25588"/>
  <c r="C206" i="25588"/>
  <c r="B204" i="25590"/>
  <c r="B204" i="25588" l="1"/>
  <c r="D205" i="25590"/>
  <c r="C204" i="25590"/>
  <c r="D206" i="25588"/>
  <c r="C205" i="25588"/>
  <c r="D205" i="25588"/>
  <c r="B203" i="25590"/>
  <c r="D204" i="25590" l="1"/>
  <c r="C203" i="25590"/>
  <c r="C204" i="25588"/>
  <c r="B203" i="25588" l="1"/>
  <c r="B202" i="25590"/>
  <c r="C202" i="25590" l="1"/>
  <c r="E210" i="25590"/>
  <c r="E209" i="25590"/>
  <c r="E208" i="25590"/>
  <c r="E207" i="25590"/>
  <c r="E206" i="25590"/>
  <c r="E205" i="25590"/>
  <c r="E204" i="25590"/>
  <c r="E203" i="25590"/>
  <c r="D203" i="25590"/>
  <c r="B202" i="25588"/>
  <c r="E203" i="25588" s="1"/>
  <c r="C203" i="25588"/>
  <c r="D204" i="25588"/>
  <c r="B201" i="25590"/>
  <c r="B201" i="25588" l="1"/>
  <c r="C201" i="25590"/>
  <c r="D202" i="25590"/>
  <c r="D203" i="25588"/>
  <c r="C202" i="25588"/>
  <c r="D202" i="25588"/>
  <c r="E210" i="25588"/>
  <c r="E209" i="25588"/>
  <c r="E208" i="25588"/>
  <c r="E207" i="25588"/>
  <c r="E206" i="25588"/>
  <c r="E205" i="25588"/>
  <c r="E204" i="25588"/>
  <c r="B200" i="25590"/>
  <c r="B200" i="25588" l="1"/>
  <c r="C200" i="25590"/>
  <c r="D201" i="25590"/>
  <c r="C201" i="25588"/>
  <c r="D201" i="25588"/>
  <c r="B199" i="25590"/>
  <c r="D200" i="25590" s="1"/>
  <c r="B199" i="25588" l="1"/>
  <c r="D200" i="25588" s="1"/>
  <c r="C199" i="25590"/>
  <c r="C200" i="25588"/>
  <c r="B198" i="25590"/>
  <c r="D199" i="25590" s="1"/>
  <c r="B198" i="25588" l="1"/>
  <c r="C199" i="25588"/>
  <c r="C198" i="25590"/>
  <c r="F210" i="25590"/>
  <c r="B197" i="25590"/>
  <c r="D198" i="25590" s="1"/>
  <c r="C198" i="25588" l="1"/>
  <c r="F210" i="25588"/>
  <c r="B197" i="25588"/>
  <c r="C197" i="25590"/>
  <c r="F209" i="25590"/>
  <c r="D199" i="25588"/>
  <c r="B196" i="25590"/>
  <c r="C197" i="25588" l="1"/>
  <c r="F209" i="25588"/>
  <c r="D197" i="25590"/>
  <c r="C196" i="25590"/>
  <c r="F208" i="25590"/>
  <c r="D198" i="25588"/>
  <c r="B195" i="25590"/>
  <c r="C195" i="25590" l="1"/>
  <c r="F207" i="25590"/>
  <c r="B196" i="25588"/>
  <c r="D196" i="25590"/>
  <c r="B194" i="25590"/>
  <c r="B195" i="25588" l="1"/>
  <c r="C196" i="25588"/>
  <c r="D196" i="25588"/>
  <c r="F208" i="25588"/>
  <c r="D197" i="25588"/>
  <c r="D195" i="25590"/>
  <c r="C194" i="25590"/>
  <c r="F206" i="25590"/>
  <c r="B193" i="25590"/>
  <c r="D194" i="25590" s="1"/>
  <c r="C193" i="25590" l="1"/>
  <c r="F205" i="25590"/>
  <c r="B194" i="25588"/>
  <c r="B193" i="25588"/>
  <c r="C195" i="25588"/>
  <c r="F207" i="25588"/>
  <c r="D195" i="25588" l="1"/>
  <c r="C194" i="25588"/>
  <c r="D194" i="25588"/>
  <c r="F206" i="25588"/>
  <c r="B192" i="25588"/>
  <c r="D193" i="25588" s="1"/>
  <c r="C193" i="25588"/>
  <c r="F205" i="25588"/>
  <c r="C192" i="25588" l="1"/>
  <c r="F204" i="25588"/>
  <c r="B192" i="25590"/>
  <c r="C192" i="25590" l="1"/>
  <c r="F204" i="25590"/>
  <c r="D193" i="25590"/>
  <c r="B191" i="25590"/>
  <c r="D192" i="25590" s="1"/>
  <c r="B191" i="25588" l="1"/>
  <c r="C191" i="25590"/>
  <c r="F203" i="25590"/>
  <c r="C191" i="25588" l="1"/>
  <c r="F203" i="25588"/>
  <c r="D192" i="25588"/>
  <c r="B190" i="25590"/>
  <c r="C190" i="25590" l="1"/>
  <c r="F202" i="25590"/>
  <c r="E202" i="25590"/>
  <c r="E201" i="25590"/>
  <c r="E200" i="25590"/>
  <c r="E199" i="25590"/>
  <c r="E198" i="25590"/>
  <c r="E197" i="25590"/>
  <c r="E196" i="25590"/>
  <c r="E195" i="25590"/>
  <c r="E194" i="25590"/>
  <c r="E193" i="25590"/>
  <c r="E192" i="25590"/>
  <c r="D191" i="25590"/>
  <c r="E191" i="25590"/>
  <c r="B190" i="25588"/>
  <c r="B189" i="25590"/>
  <c r="C190" i="25588" l="1"/>
  <c r="E202" i="25588"/>
  <c r="F202" i="25588"/>
  <c r="E201" i="25588"/>
  <c r="E200" i="25588"/>
  <c r="E199" i="25588"/>
  <c r="E198" i="25588"/>
  <c r="E197" i="25588"/>
  <c r="E196" i="25588"/>
  <c r="E195" i="25588"/>
  <c r="E194" i="25588"/>
  <c r="E193" i="25588"/>
  <c r="E192" i="25588"/>
  <c r="E191" i="25588"/>
  <c r="D191" i="25588"/>
  <c r="C189" i="25590"/>
  <c r="F201" i="25590"/>
  <c r="D190" i="25590"/>
  <c r="B188" i="25590"/>
  <c r="D189" i="25590" s="1"/>
  <c r="B189" i="25588" l="1"/>
  <c r="C188" i="25590"/>
  <c r="F200" i="25590"/>
  <c r="B188" i="25588" l="1"/>
  <c r="C189" i="25588"/>
  <c r="D189" i="25588"/>
  <c r="F201" i="25588"/>
  <c r="D190" i="25588"/>
  <c r="B187" i="25590"/>
  <c r="B187" i="25588" l="1"/>
  <c r="C187" i="25590"/>
  <c r="F199" i="25590"/>
  <c r="D188" i="25590"/>
  <c r="C188" i="25588"/>
  <c r="F200" i="25588"/>
  <c r="B186" i="25590"/>
  <c r="C186" i="25590" l="1"/>
  <c r="G210" i="25590"/>
  <c r="F198" i="25590"/>
  <c r="D187" i="25590"/>
  <c r="C187" i="25588"/>
  <c r="F199" i="25588"/>
  <c r="D188" i="25588"/>
  <c r="B186" i="25588" l="1"/>
  <c r="C186" i="25588" l="1"/>
  <c r="G210" i="25588"/>
  <c r="F198" i="25588"/>
  <c r="D187" i="25588"/>
  <c r="B185" i="25590" l="1"/>
  <c r="B185" i="25588" l="1"/>
  <c r="C185" i="25590"/>
  <c r="G209" i="25590"/>
  <c r="F197" i="25590"/>
  <c r="D186" i="25590"/>
  <c r="C185" i="25588" l="1"/>
  <c r="G209" i="25588"/>
  <c r="F197" i="25588"/>
  <c r="D186" i="25588"/>
  <c r="B184" i="25590"/>
  <c r="B184" i="25588" l="1"/>
  <c r="C184" i="25590"/>
  <c r="G208" i="25590"/>
  <c r="F196" i="25590"/>
  <c r="D185" i="25590"/>
  <c r="B183" i="25590"/>
  <c r="B183" i="25588" l="1"/>
  <c r="C183" i="25590"/>
  <c r="G207" i="25590"/>
  <c r="F195" i="25590"/>
  <c r="D184" i="25590"/>
  <c r="C184" i="25588"/>
  <c r="D184" i="25588"/>
  <c r="G208" i="25588"/>
  <c r="F196" i="25588"/>
  <c r="D185" i="25588"/>
  <c r="C183" i="25588" l="1"/>
  <c r="G207" i="25588"/>
  <c r="F195" i="25588"/>
  <c r="B182" i="25590" l="1"/>
  <c r="C182" i="25590" l="1"/>
  <c r="G206" i="25590"/>
  <c r="F194" i="25590"/>
  <c r="D183" i="25590"/>
  <c r="B181" i="25590"/>
  <c r="D182" i="25590" s="1"/>
  <c r="B182" i="25588" l="1"/>
  <c r="C181" i="25590"/>
  <c r="G205" i="25590"/>
  <c r="F193" i="25590"/>
  <c r="B180" i="25590"/>
  <c r="D181" i="25590" s="1"/>
  <c r="B180" i="25588" l="1"/>
  <c r="B181" i="25588"/>
  <c r="C180" i="25590"/>
  <c r="G204" i="25590"/>
  <c r="F192" i="25590"/>
  <c r="D182" i="25588"/>
  <c r="C182" i="25588"/>
  <c r="G206" i="25588"/>
  <c r="F194" i="25588"/>
  <c r="D183" i="25588"/>
  <c r="B179" i="25590"/>
  <c r="D180" i="25590" s="1"/>
  <c r="B179" i="25588" l="1"/>
  <c r="C181" i="25588"/>
  <c r="D181" i="25588"/>
  <c r="G205" i="25588"/>
  <c r="F193" i="25588"/>
  <c r="C179" i="25590"/>
  <c r="G203" i="25590"/>
  <c r="F191" i="25590"/>
  <c r="C180" i="25588"/>
  <c r="D180" i="25588"/>
  <c r="G204" i="25588"/>
  <c r="F192" i="25588"/>
  <c r="C179" i="25588" l="1"/>
  <c r="G203" i="25588"/>
  <c r="F191" i="25588"/>
  <c r="B178" i="25590" l="1"/>
  <c r="C178" i="25590" l="1"/>
  <c r="G202" i="25590"/>
  <c r="F190" i="25590"/>
  <c r="E190" i="25590"/>
  <c r="E189" i="25590"/>
  <c r="E188" i="25590"/>
  <c r="E187" i="25590"/>
  <c r="E186" i="25590"/>
  <c r="E185" i="25590"/>
  <c r="E184" i="25590"/>
  <c r="E183" i="25590"/>
  <c r="E182" i="25590"/>
  <c r="E181" i="25590"/>
  <c r="E180" i="25590"/>
  <c r="D179" i="25590"/>
  <c r="E179" i="25590"/>
  <c r="B178" i="25588"/>
  <c r="B177" i="25590"/>
  <c r="C177" i="25590" l="1"/>
  <c r="G201" i="25590"/>
  <c r="F189" i="25590"/>
  <c r="C178" i="25588"/>
  <c r="G202" i="25588"/>
  <c r="F190" i="25588"/>
  <c r="E190" i="25588"/>
  <c r="E189" i="25588"/>
  <c r="E188" i="25588"/>
  <c r="E187" i="25588"/>
  <c r="E186" i="25588"/>
  <c r="E185" i="25588"/>
  <c r="E184" i="25588"/>
  <c r="E183" i="25588"/>
  <c r="E182" i="25588"/>
  <c r="E181" i="25588"/>
  <c r="E180" i="25588"/>
  <c r="E179" i="25588"/>
  <c r="D179" i="25588"/>
  <c r="D178" i="25590"/>
  <c r="B177" i="25588" l="1"/>
  <c r="C177" i="25588" l="1"/>
  <c r="G201" i="25588"/>
  <c r="F189" i="25588"/>
  <c r="D178" i="25588"/>
  <c r="B176" i="25590"/>
  <c r="B176" i="25588" l="1"/>
  <c r="C176" i="25590"/>
  <c r="G200" i="25590"/>
  <c r="F188" i="25590"/>
  <c r="D177" i="25590"/>
  <c r="C176" i="25588" l="1"/>
  <c r="G200" i="25588"/>
  <c r="F188" i="25588"/>
  <c r="D177" i="25588"/>
  <c r="B174" i="25590" l="1"/>
  <c r="B175" i="25590"/>
  <c r="C174" i="25590" l="1"/>
  <c r="G198" i="25590"/>
  <c r="F186" i="25590"/>
  <c r="B175" i="25588"/>
  <c r="C175" i="25590"/>
  <c r="D175" i="25590"/>
  <c r="G199" i="25590"/>
  <c r="F187" i="25590"/>
  <c r="D176" i="25590"/>
  <c r="C175" i="25588" l="1"/>
  <c r="G199" i="25588"/>
  <c r="F187" i="25588"/>
  <c r="D176" i="25588"/>
  <c r="B174" i="25588" l="1"/>
  <c r="C174" i="25588" l="1"/>
  <c r="G198" i="25588"/>
  <c r="F186" i="25588"/>
  <c r="D175" i="25588"/>
  <c r="B173" i="25590" l="1"/>
  <c r="B173" i="25588" l="1"/>
  <c r="C173" i="25590"/>
  <c r="G197" i="25590"/>
  <c r="F185" i="25590"/>
  <c r="D174" i="25590"/>
  <c r="B172" i="25590"/>
  <c r="D173" i="25590" s="1"/>
  <c r="B172" i="25588" l="1"/>
  <c r="C172" i="25590"/>
  <c r="G196" i="25590"/>
  <c r="F184" i="25590"/>
  <c r="C173" i="25588"/>
  <c r="D173" i="25588"/>
  <c r="G197" i="25588"/>
  <c r="F185" i="25588"/>
  <c r="D174" i="25588"/>
  <c r="B171" i="25590"/>
  <c r="B171" i="25588" l="1"/>
  <c r="D172" i="25590"/>
  <c r="C171" i="25590"/>
  <c r="G195" i="25590"/>
  <c r="F183" i="25590"/>
  <c r="C172" i="25588"/>
  <c r="D172" i="25588"/>
  <c r="G196" i="25588"/>
  <c r="F184" i="25588"/>
  <c r="B170" i="25590"/>
  <c r="D171" i="25590" s="1"/>
  <c r="C170" i="25590" l="1"/>
  <c r="G194" i="25590"/>
  <c r="F182" i="25590"/>
  <c r="C171" i="25588"/>
  <c r="G195" i="25588"/>
  <c r="F183" i="25588"/>
  <c r="B169" i="25590"/>
  <c r="B169" i="25588" l="1"/>
  <c r="D170" i="25590"/>
  <c r="C169" i="25590"/>
  <c r="G193" i="25590"/>
  <c r="F181" i="25590"/>
  <c r="B170" i="25588"/>
  <c r="C170" i="25588" l="1"/>
  <c r="D170" i="25588"/>
  <c r="G194" i="25588"/>
  <c r="F182" i="25588"/>
  <c r="D171" i="25588"/>
  <c r="C169" i="25588"/>
  <c r="G193" i="25588"/>
  <c r="F181" i="25588"/>
  <c r="B168" i="25590"/>
  <c r="C168" i="25590" l="1"/>
  <c r="G192" i="25590"/>
  <c r="F180" i="25590"/>
  <c r="D169" i="25590"/>
  <c r="B167" i="25590"/>
  <c r="D168" i="25590" l="1"/>
  <c r="C167" i="25590"/>
  <c r="G191" i="25590"/>
  <c r="F179" i="25590"/>
  <c r="B168" i="25588"/>
  <c r="B167" i="25588" l="1"/>
  <c r="C168" i="25588"/>
  <c r="D168" i="25588"/>
  <c r="G192" i="25588"/>
  <c r="F180" i="25588"/>
  <c r="D169" i="25588"/>
  <c r="B166" i="25590"/>
  <c r="C166" i="25590" l="1"/>
  <c r="G190" i="25590"/>
  <c r="F178" i="25590"/>
  <c r="E178" i="25590"/>
  <c r="E177" i="25590"/>
  <c r="E176" i="25590"/>
  <c r="E174" i="25590"/>
  <c r="E175" i="25590"/>
  <c r="E173" i="25590"/>
  <c r="E172" i="25590"/>
  <c r="E171" i="25590"/>
  <c r="E170" i="25590"/>
  <c r="E169" i="25590"/>
  <c r="E168" i="25590"/>
  <c r="E167" i="25590"/>
  <c r="D167" i="25590"/>
  <c r="C167" i="25588"/>
  <c r="G191" i="25588"/>
  <c r="F179" i="25588"/>
  <c r="B165" i="25590"/>
  <c r="B166" i="25588" l="1"/>
  <c r="B165" i="25588"/>
  <c r="C165" i="25590"/>
  <c r="G189" i="25590"/>
  <c r="F177" i="25590"/>
  <c r="D166" i="25590"/>
  <c r="B164" i="25590"/>
  <c r="D165" i="25590" s="1"/>
  <c r="B164" i="25588" l="1"/>
  <c r="C164" i="25590"/>
  <c r="G188" i="25590"/>
  <c r="F176" i="25590"/>
  <c r="C165" i="25588"/>
  <c r="D165" i="25588"/>
  <c r="G189" i="25588"/>
  <c r="F177" i="25588"/>
  <c r="C166" i="25588"/>
  <c r="D166" i="25588"/>
  <c r="G190" i="25588"/>
  <c r="E178" i="25588"/>
  <c r="F178" i="25588"/>
  <c r="E177" i="25588"/>
  <c r="E176" i="25588"/>
  <c r="E175" i="25588"/>
  <c r="E174" i="25588"/>
  <c r="E173" i="25588"/>
  <c r="E172" i="25588"/>
  <c r="E171" i="25588"/>
  <c r="E170" i="25588"/>
  <c r="E169" i="25588"/>
  <c r="E168" i="25588"/>
  <c r="E167" i="25588"/>
  <c r="D167" i="25588"/>
  <c r="B163" i="25590"/>
  <c r="C163" i="25590" l="1"/>
  <c r="G187" i="25590"/>
  <c r="F175" i="25590"/>
  <c r="D164" i="25590"/>
  <c r="B163" i="25588"/>
  <c r="C164" i="25588"/>
  <c r="D164" i="25588"/>
  <c r="G188" i="25588"/>
  <c r="F176" i="25588"/>
  <c r="B162" i="25590"/>
  <c r="C162" i="25590" l="1"/>
  <c r="G186" i="25590"/>
  <c r="F174" i="25590"/>
  <c r="C163" i="25588"/>
  <c r="G187" i="25588"/>
  <c r="F175" i="25588"/>
  <c r="D163" i="25590"/>
  <c r="B162" i="25588"/>
  <c r="C162" i="25588" l="1"/>
  <c r="G186" i="25588"/>
  <c r="F174" i="25588"/>
  <c r="D163" i="25588"/>
  <c r="B161" i="25590"/>
  <c r="B161" i="25588" l="1"/>
  <c r="C161" i="25590"/>
  <c r="G185" i="25590"/>
  <c r="F173" i="25590"/>
  <c r="D162" i="25590"/>
  <c r="C161" i="25588" l="1"/>
  <c r="G185" i="25588"/>
  <c r="F173" i="25588"/>
  <c r="D162" i="25588"/>
  <c r="B160" i="25590"/>
  <c r="C160" i="25590" l="1"/>
  <c r="G184" i="25590"/>
  <c r="F172" i="25590"/>
  <c r="D161" i="25590"/>
  <c r="B160" i="25588"/>
  <c r="C160" i="25588" l="1"/>
  <c r="G184" i="25588"/>
  <c r="F172" i="25588"/>
  <c r="D161" i="25588"/>
  <c r="B159" i="25590" l="1"/>
  <c r="C159" i="25590" l="1"/>
  <c r="G183" i="25590"/>
  <c r="F171" i="25590"/>
  <c r="D160" i="25590"/>
  <c r="B159" i="25588"/>
  <c r="B157" i="25590"/>
  <c r="B158" i="25590"/>
  <c r="D158" i="25590" l="1"/>
  <c r="C158" i="25590"/>
  <c r="G182" i="25590"/>
  <c r="F170" i="25590"/>
  <c r="C159" i="25588"/>
  <c r="G183" i="25588"/>
  <c r="F171" i="25588"/>
  <c r="D160" i="25588"/>
  <c r="D159" i="25590"/>
  <c r="C157" i="25590"/>
  <c r="G181" i="25590"/>
  <c r="F169" i="25590"/>
  <c r="B158" i="25588" l="1"/>
  <c r="B157" i="25588" l="1"/>
  <c r="D158" i="25588"/>
  <c r="C158" i="25588"/>
  <c r="G182" i="25588"/>
  <c r="F170" i="25588"/>
  <c r="D159" i="25588"/>
  <c r="C157" i="25588" l="1"/>
  <c r="G181" i="25588"/>
  <c r="F169" i="25588"/>
  <c r="B156" i="25590" l="1"/>
  <c r="C156" i="25590" l="1"/>
  <c r="G180" i="25590"/>
  <c r="F168" i="25590"/>
  <c r="D157" i="25590"/>
  <c r="B156" i="25588" l="1"/>
  <c r="B155" i="25590"/>
  <c r="C155" i="25590" l="1"/>
  <c r="G179" i="25590"/>
  <c r="F167" i="25590"/>
  <c r="D156" i="25590"/>
  <c r="C156" i="25588"/>
  <c r="G180" i="25588"/>
  <c r="F168" i="25588"/>
  <c r="D157" i="25588"/>
  <c r="B154" i="25590"/>
  <c r="C154" i="25590" l="1"/>
  <c r="G178" i="25590"/>
  <c r="E166" i="25590"/>
  <c r="F166" i="25590"/>
  <c r="E165" i="25590"/>
  <c r="E164" i="25590"/>
  <c r="E163" i="25590"/>
  <c r="E162" i="25590"/>
  <c r="E161" i="25590"/>
  <c r="E160" i="25590"/>
  <c r="E159" i="25590"/>
  <c r="E158" i="25590"/>
  <c r="E157" i="25590"/>
  <c r="E156" i="25590"/>
  <c r="B155" i="25588"/>
  <c r="E155" i="25590"/>
  <c r="D155" i="25590"/>
  <c r="B154" i="25588" l="1"/>
  <c r="C155" i="25588"/>
  <c r="D155" i="25588"/>
  <c r="E155" i="25588"/>
  <c r="G179" i="25588"/>
  <c r="F167" i="25588"/>
  <c r="D156" i="25588"/>
  <c r="C154" i="25588" l="1"/>
  <c r="G178" i="25588"/>
  <c r="E165" i="25588"/>
  <c r="F166" i="25588"/>
  <c r="E166" i="25588"/>
  <c r="E164" i="25588"/>
  <c r="E163" i="25588"/>
  <c r="E162" i="25588"/>
  <c r="E161" i="25588"/>
  <c r="E160" i="25588"/>
  <c r="E159" i="25588"/>
  <c r="E158" i="25588"/>
  <c r="E157" i="25588"/>
  <c r="E156" i="25588"/>
  <c r="B153" i="25590" l="1"/>
  <c r="C153" i="25590" l="1"/>
  <c r="G177" i="25590"/>
  <c r="F165" i="25590"/>
  <c r="D154" i="25590"/>
  <c r="B153" i="25588"/>
  <c r="B152" i="25590"/>
  <c r="B142" i="25590"/>
  <c r="B130" i="25590"/>
  <c r="B118" i="25590"/>
  <c r="B141" i="25590"/>
  <c r="F153" i="25590" s="1"/>
  <c r="B129" i="25590"/>
  <c r="B117" i="25590"/>
  <c r="B140" i="25590"/>
  <c r="B128" i="25590"/>
  <c r="B116" i="25590"/>
  <c r="B151" i="25590"/>
  <c r="B139" i="25590"/>
  <c r="B127" i="25590"/>
  <c r="B115" i="25590"/>
  <c r="B150" i="25590"/>
  <c r="B138" i="25590"/>
  <c r="B126" i="25590"/>
  <c r="B114" i="25590"/>
  <c r="B149" i="25590"/>
  <c r="B137" i="25590"/>
  <c r="B125" i="25590"/>
  <c r="B113" i="25590"/>
  <c r="B148" i="25590"/>
  <c r="B136" i="25590"/>
  <c r="B124" i="25590"/>
  <c r="B147" i="25590"/>
  <c r="B135" i="25590"/>
  <c r="B123" i="25590"/>
  <c r="B146" i="25590"/>
  <c r="B134" i="25590"/>
  <c r="B122" i="25590"/>
  <c r="B145" i="25590"/>
  <c r="B133" i="25590"/>
  <c r="B121" i="25590"/>
  <c r="B144" i="25590"/>
  <c r="B132" i="25590"/>
  <c r="B120" i="25590"/>
  <c r="B143" i="25590"/>
  <c r="B131" i="25590"/>
  <c r="B119" i="25590"/>
  <c r="E132" i="25590" l="1"/>
  <c r="G132" i="25590"/>
  <c r="C132" i="25590"/>
  <c r="D132" i="25590"/>
  <c r="F132" i="25590"/>
  <c r="G156" i="25590"/>
  <c r="G123" i="25590"/>
  <c r="C123" i="25590"/>
  <c r="F123" i="25590"/>
  <c r="D123" i="25590"/>
  <c r="E123" i="25590"/>
  <c r="G137" i="25590"/>
  <c r="D137" i="25590"/>
  <c r="E137" i="25590"/>
  <c r="C137" i="25590"/>
  <c r="F137" i="25590"/>
  <c r="G161" i="25590"/>
  <c r="C139" i="25590"/>
  <c r="F139" i="25590"/>
  <c r="E139" i="25590"/>
  <c r="D139" i="25590"/>
  <c r="G139" i="25590"/>
  <c r="G163" i="25590"/>
  <c r="D118" i="25590"/>
  <c r="E118" i="25590"/>
  <c r="G118" i="25590"/>
  <c r="F118" i="25590"/>
  <c r="C118" i="25590"/>
  <c r="E144" i="25590"/>
  <c r="G144" i="25590"/>
  <c r="F144" i="25590"/>
  <c r="D144" i="25590"/>
  <c r="C144" i="25590"/>
  <c r="G168" i="25590"/>
  <c r="F156" i="25590"/>
  <c r="G135" i="25590"/>
  <c r="D135" i="25590"/>
  <c r="C135" i="25590"/>
  <c r="E135" i="25590"/>
  <c r="F135" i="25590"/>
  <c r="G159" i="25590"/>
  <c r="G149" i="25590"/>
  <c r="F149" i="25590"/>
  <c r="C149" i="25590"/>
  <c r="E149" i="25590"/>
  <c r="D149" i="25590"/>
  <c r="G173" i="25590"/>
  <c r="F161" i="25590"/>
  <c r="C151" i="25590"/>
  <c r="F151" i="25590"/>
  <c r="E151" i="25590"/>
  <c r="D151" i="25590"/>
  <c r="G151" i="25590"/>
  <c r="G175" i="25590"/>
  <c r="F163" i="25590"/>
  <c r="C130" i="25590"/>
  <c r="E130" i="25590"/>
  <c r="D130" i="25590"/>
  <c r="G130" i="25590"/>
  <c r="F130" i="25590"/>
  <c r="G154" i="25590"/>
  <c r="C152" i="25590"/>
  <c r="F152" i="25590"/>
  <c r="G152" i="25590"/>
  <c r="D152" i="25590"/>
  <c r="E152" i="25590"/>
  <c r="G176" i="25590"/>
  <c r="F164" i="25590"/>
  <c r="G121" i="25590"/>
  <c r="C121" i="25590"/>
  <c r="E121" i="25590"/>
  <c r="F121" i="25590"/>
  <c r="D121" i="25590"/>
  <c r="E147" i="25590"/>
  <c r="G147" i="25590"/>
  <c r="C147" i="25590"/>
  <c r="D147" i="25590"/>
  <c r="F147" i="25590"/>
  <c r="G171" i="25590"/>
  <c r="F159" i="25590"/>
  <c r="C114" i="25590"/>
  <c r="F114" i="25590"/>
  <c r="E114" i="25590"/>
  <c r="D114" i="25590"/>
  <c r="G114" i="25590"/>
  <c r="C116" i="25590"/>
  <c r="G116" i="25590"/>
  <c r="E116" i="25590"/>
  <c r="F116" i="25590"/>
  <c r="D116" i="25590"/>
  <c r="G142" i="25590"/>
  <c r="D142" i="25590"/>
  <c r="C142" i="25590"/>
  <c r="F142" i="25590"/>
  <c r="E142" i="25590"/>
  <c r="G166" i="25590"/>
  <c r="F154" i="25590"/>
  <c r="E154" i="25590"/>
  <c r="F133" i="25590"/>
  <c r="G133" i="25590"/>
  <c r="D133" i="25590"/>
  <c r="E133" i="25590"/>
  <c r="C133" i="25590"/>
  <c r="G157" i="25590"/>
  <c r="F124" i="25590"/>
  <c r="E124" i="25590"/>
  <c r="D124" i="25590"/>
  <c r="G124" i="25590"/>
  <c r="C124" i="25590"/>
  <c r="C126" i="25590"/>
  <c r="G126" i="25590"/>
  <c r="E126" i="25590"/>
  <c r="D126" i="25590"/>
  <c r="F126" i="25590"/>
  <c r="E128" i="25590"/>
  <c r="C128" i="25590"/>
  <c r="G128" i="25590"/>
  <c r="F128" i="25590"/>
  <c r="D128" i="25590"/>
  <c r="D153" i="25590"/>
  <c r="G119" i="25590"/>
  <c r="D119" i="25590"/>
  <c r="E119" i="25590"/>
  <c r="C119" i="25590"/>
  <c r="F119" i="25590"/>
  <c r="F145" i="25590"/>
  <c r="C145" i="25590"/>
  <c r="E145" i="25590"/>
  <c r="G145" i="25590"/>
  <c r="D145" i="25590"/>
  <c r="G169" i="25590"/>
  <c r="F157" i="25590"/>
  <c r="E136" i="25590"/>
  <c r="F136" i="25590"/>
  <c r="G136" i="25590"/>
  <c r="D136" i="25590"/>
  <c r="C136" i="25590"/>
  <c r="G160" i="25590"/>
  <c r="G138" i="25590"/>
  <c r="C138" i="25590"/>
  <c r="E138" i="25590"/>
  <c r="F138" i="25590"/>
  <c r="D138" i="25590"/>
  <c r="G162" i="25590"/>
  <c r="D140" i="25590"/>
  <c r="F140" i="25590"/>
  <c r="C140" i="25590"/>
  <c r="E140" i="25590"/>
  <c r="G140" i="25590"/>
  <c r="G164" i="25590"/>
  <c r="G131" i="25590"/>
  <c r="C131" i="25590"/>
  <c r="D131" i="25590"/>
  <c r="F131" i="25590"/>
  <c r="E131" i="25590"/>
  <c r="G155" i="25590"/>
  <c r="C122" i="25590"/>
  <c r="D122" i="25590"/>
  <c r="G122" i="25590"/>
  <c r="F122" i="25590"/>
  <c r="E122" i="25590"/>
  <c r="F148" i="25590"/>
  <c r="C148" i="25590"/>
  <c r="E148" i="25590"/>
  <c r="D148" i="25590"/>
  <c r="G148" i="25590"/>
  <c r="G172" i="25590"/>
  <c r="F160" i="25590"/>
  <c r="C150" i="25590"/>
  <c r="D150" i="25590"/>
  <c r="E150" i="25590"/>
  <c r="F150" i="25590"/>
  <c r="G150" i="25590"/>
  <c r="G174" i="25590"/>
  <c r="F162" i="25590"/>
  <c r="G117" i="25590"/>
  <c r="D117" i="25590"/>
  <c r="F117" i="25590"/>
  <c r="C117" i="25590"/>
  <c r="E117" i="25590"/>
  <c r="E153" i="25590"/>
  <c r="C143" i="25590"/>
  <c r="E143" i="25590"/>
  <c r="F143" i="25590"/>
  <c r="G143" i="25590"/>
  <c r="D143" i="25590"/>
  <c r="G167" i="25590"/>
  <c r="F155" i="25590"/>
  <c r="F134" i="25590"/>
  <c r="E134" i="25590"/>
  <c r="G134" i="25590"/>
  <c r="D134" i="25590"/>
  <c r="C134" i="25590"/>
  <c r="G158" i="25590"/>
  <c r="C113" i="25590"/>
  <c r="F113" i="25590"/>
  <c r="G113" i="25590"/>
  <c r="E113" i="25590"/>
  <c r="D113" i="25590"/>
  <c r="C115" i="25590"/>
  <c r="D115" i="25590"/>
  <c r="E115" i="25590"/>
  <c r="G115" i="25590"/>
  <c r="F115" i="25590"/>
  <c r="C129" i="25590"/>
  <c r="D129" i="25590"/>
  <c r="G129" i="25590"/>
  <c r="F129" i="25590"/>
  <c r="E129" i="25590"/>
  <c r="C153" i="25588"/>
  <c r="G177" i="25588"/>
  <c r="F165" i="25588"/>
  <c r="D154" i="25588"/>
  <c r="G153" i="25590"/>
  <c r="C120" i="25590"/>
  <c r="G120" i="25590"/>
  <c r="F120" i="25590"/>
  <c r="E120" i="25590"/>
  <c r="D120" i="25590"/>
  <c r="F146" i="25590"/>
  <c r="E146" i="25590"/>
  <c r="D146" i="25590"/>
  <c r="G146" i="25590"/>
  <c r="C146" i="25590"/>
  <c r="G170" i="25590"/>
  <c r="F158" i="25590"/>
  <c r="D125" i="25590"/>
  <c r="F125" i="25590"/>
  <c r="E125" i="25590"/>
  <c r="C125" i="25590"/>
  <c r="G125" i="25590"/>
  <c r="E127" i="25590"/>
  <c r="F127" i="25590"/>
  <c r="C127" i="25590"/>
  <c r="D127" i="25590"/>
  <c r="G127" i="25590"/>
  <c r="E141" i="25590"/>
  <c r="F141" i="25590"/>
  <c r="D141" i="25590"/>
  <c r="G141" i="25590"/>
  <c r="C141" i="25590"/>
  <c r="G165" i="25590"/>
  <c r="B139" i="25588" l="1"/>
  <c r="B144" i="25588"/>
  <c r="B148" i="25588"/>
  <c r="B143" i="25588"/>
  <c r="B146" i="25588"/>
  <c r="B151" i="25588"/>
  <c r="B115" i="25588"/>
  <c r="B137" i="25588"/>
  <c r="B136" i="25588"/>
  <c r="B134" i="25588"/>
  <c r="B122" i="25588"/>
  <c r="B127" i="25588"/>
  <c r="B135" i="25588"/>
  <c r="B129" i="25588"/>
  <c r="B120" i="25588"/>
  <c r="B118" i="25588"/>
  <c r="B141" i="25588"/>
  <c r="B150" i="25588"/>
  <c r="B130" i="25588"/>
  <c r="B126" i="25588"/>
  <c r="B147" i="25588"/>
  <c r="B123" i="25588"/>
  <c r="B145" i="25588"/>
  <c r="B114" i="25588"/>
  <c r="B117" i="25588"/>
  <c r="B138" i="25588"/>
  <c r="B119" i="25588"/>
  <c r="B113" i="25588"/>
  <c r="B116" i="25588"/>
  <c r="B121" i="25588"/>
  <c r="B152" i="25588"/>
  <c r="B128" i="25588"/>
  <c r="B142" i="25588"/>
  <c r="B131" i="25588"/>
  <c r="B149" i="25588"/>
  <c r="B140" i="25588"/>
  <c r="B132" i="25588"/>
  <c r="B124" i="25588"/>
  <c r="B125" i="25588"/>
  <c r="B133" i="25588"/>
  <c r="D124" i="25588" l="1"/>
  <c r="E124" i="25588"/>
  <c r="G124" i="25588"/>
  <c r="C124" i="25588"/>
  <c r="F124" i="25588"/>
  <c r="G131" i="25588"/>
  <c r="D131" i="25588"/>
  <c r="F131" i="25588"/>
  <c r="E131" i="25588"/>
  <c r="C131" i="25588"/>
  <c r="G155" i="25588"/>
  <c r="F152" i="25588"/>
  <c r="E152" i="25588"/>
  <c r="C152" i="25588"/>
  <c r="D152" i="25588"/>
  <c r="G152" i="25588"/>
  <c r="G176" i="25588"/>
  <c r="F164" i="25588"/>
  <c r="D153" i="25588"/>
  <c r="E119" i="25588"/>
  <c r="G119" i="25588"/>
  <c r="C119" i="25588"/>
  <c r="F119" i="25588"/>
  <c r="D119" i="25588"/>
  <c r="C145" i="25588"/>
  <c r="E145" i="25588"/>
  <c r="G145" i="25588"/>
  <c r="D145" i="25588"/>
  <c r="F145" i="25588"/>
  <c r="G169" i="25588"/>
  <c r="F157" i="25588"/>
  <c r="G130" i="25588"/>
  <c r="C130" i="25588"/>
  <c r="E130" i="25588"/>
  <c r="D130" i="25588"/>
  <c r="F130" i="25588"/>
  <c r="G154" i="25588"/>
  <c r="D118" i="25588"/>
  <c r="G118" i="25588"/>
  <c r="E118" i="25588"/>
  <c r="F118" i="25588"/>
  <c r="C118" i="25588"/>
  <c r="C127" i="25588"/>
  <c r="E127" i="25588"/>
  <c r="G127" i="25588"/>
  <c r="D127" i="25588"/>
  <c r="F127" i="25588"/>
  <c r="E137" i="25588"/>
  <c r="C137" i="25588"/>
  <c r="F137" i="25588"/>
  <c r="D137" i="25588"/>
  <c r="G137" i="25588"/>
  <c r="G161" i="25588"/>
  <c r="F143" i="25588"/>
  <c r="C143" i="25588"/>
  <c r="D143" i="25588"/>
  <c r="E143" i="25588"/>
  <c r="G143" i="25588"/>
  <c r="G167" i="25588"/>
  <c r="F155" i="25588"/>
  <c r="D132" i="25588"/>
  <c r="E132" i="25588"/>
  <c r="F132" i="25588"/>
  <c r="G132" i="25588"/>
  <c r="C132" i="25588"/>
  <c r="G156" i="25588"/>
  <c r="E142" i="25588"/>
  <c r="D142" i="25588"/>
  <c r="F142" i="25588"/>
  <c r="G142" i="25588"/>
  <c r="C142" i="25588"/>
  <c r="G166" i="25588"/>
  <c r="E154" i="25588"/>
  <c r="F154" i="25588"/>
  <c r="E153" i="25588"/>
  <c r="G121" i="25588"/>
  <c r="E121" i="25588"/>
  <c r="F121" i="25588"/>
  <c r="C121" i="25588"/>
  <c r="D121" i="25588"/>
  <c r="F138" i="25588"/>
  <c r="D138" i="25588"/>
  <c r="G138" i="25588"/>
  <c r="C138" i="25588"/>
  <c r="E138" i="25588"/>
  <c r="G162" i="25588"/>
  <c r="C123" i="25588"/>
  <c r="D123" i="25588"/>
  <c r="F123" i="25588"/>
  <c r="G123" i="25588"/>
  <c r="E123" i="25588"/>
  <c r="F120" i="25588"/>
  <c r="G120" i="25588"/>
  <c r="E120" i="25588"/>
  <c r="C120" i="25588"/>
  <c r="D120" i="25588"/>
  <c r="F122" i="25588"/>
  <c r="E122" i="25588"/>
  <c r="D122" i="25588"/>
  <c r="C122" i="25588"/>
  <c r="G122" i="25588"/>
  <c r="C115" i="25588"/>
  <c r="G115" i="25588"/>
  <c r="D115" i="25588"/>
  <c r="E115" i="25588"/>
  <c r="F115" i="25588"/>
  <c r="F148" i="25588"/>
  <c r="G148" i="25588"/>
  <c r="D148" i="25588"/>
  <c r="C148" i="25588"/>
  <c r="E148" i="25588"/>
  <c r="G172" i="25588"/>
  <c r="F160" i="25588"/>
  <c r="F133" i="25588"/>
  <c r="C133" i="25588"/>
  <c r="E133" i="25588"/>
  <c r="D133" i="25588"/>
  <c r="G133" i="25588"/>
  <c r="G157" i="25588"/>
  <c r="F140" i="25588"/>
  <c r="E140" i="25588"/>
  <c r="D140" i="25588"/>
  <c r="C140" i="25588"/>
  <c r="G140" i="25588"/>
  <c r="G164" i="25588"/>
  <c r="C128" i="25588"/>
  <c r="D128" i="25588"/>
  <c r="G128" i="25588"/>
  <c r="E128" i="25588"/>
  <c r="F128" i="25588"/>
  <c r="F116" i="25588"/>
  <c r="E116" i="25588"/>
  <c r="D116" i="25588"/>
  <c r="G116" i="25588"/>
  <c r="C116" i="25588"/>
  <c r="E117" i="25588"/>
  <c r="D117" i="25588"/>
  <c r="G117" i="25588"/>
  <c r="F117" i="25588"/>
  <c r="C117" i="25588"/>
  <c r="D147" i="25588"/>
  <c r="E147" i="25588"/>
  <c r="F147" i="25588"/>
  <c r="C147" i="25588"/>
  <c r="G147" i="25588"/>
  <c r="G171" i="25588"/>
  <c r="F159" i="25588"/>
  <c r="F150" i="25588"/>
  <c r="E150" i="25588"/>
  <c r="C150" i="25588"/>
  <c r="D150" i="25588"/>
  <c r="G150" i="25588"/>
  <c r="G174" i="25588"/>
  <c r="F162" i="25588"/>
  <c r="F129" i="25588"/>
  <c r="E129" i="25588"/>
  <c r="C129" i="25588"/>
  <c r="D129" i="25588"/>
  <c r="G129" i="25588"/>
  <c r="G153" i="25588"/>
  <c r="D134" i="25588"/>
  <c r="C134" i="25588"/>
  <c r="E134" i="25588"/>
  <c r="F134" i="25588"/>
  <c r="G134" i="25588"/>
  <c r="G158" i="25588"/>
  <c r="F151" i="25588"/>
  <c r="E151" i="25588"/>
  <c r="G151" i="25588"/>
  <c r="D151" i="25588"/>
  <c r="C151" i="25588"/>
  <c r="G175" i="25588"/>
  <c r="F163" i="25588"/>
  <c r="F144" i="25588"/>
  <c r="E144" i="25588"/>
  <c r="C144" i="25588"/>
  <c r="D144" i="25588"/>
  <c r="G144" i="25588"/>
  <c r="G168" i="25588"/>
  <c r="F156" i="25588"/>
  <c r="E125" i="25588"/>
  <c r="G125" i="25588"/>
  <c r="C125" i="25588"/>
  <c r="D125" i="25588"/>
  <c r="F125" i="25588"/>
  <c r="D149" i="25588"/>
  <c r="C149" i="25588"/>
  <c r="G149" i="25588"/>
  <c r="E149" i="25588"/>
  <c r="F149" i="25588"/>
  <c r="G173" i="25588"/>
  <c r="F161" i="25588"/>
  <c r="E113" i="25588"/>
  <c r="G113" i="25588"/>
  <c r="D113" i="25588"/>
  <c r="F113" i="25588"/>
  <c r="C113" i="25588"/>
  <c r="D114" i="25588"/>
  <c r="E114" i="25588"/>
  <c r="F114" i="25588"/>
  <c r="C114" i="25588"/>
  <c r="G114" i="25588"/>
  <c r="E126" i="25588"/>
  <c r="F126" i="25588"/>
  <c r="C126" i="25588"/>
  <c r="D126" i="25588"/>
  <c r="G126" i="25588"/>
  <c r="C141" i="25588"/>
  <c r="F141" i="25588"/>
  <c r="D141" i="25588"/>
  <c r="E141" i="25588"/>
  <c r="G141" i="25588"/>
  <c r="G165" i="25588"/>
  <c r="F153" i="25588"/>
  <c r="E135" i="25588"/>
  <c r="G135" i="25588"/>
  <c r="D135" i="25588"/>
  <c r="C135" i="25588"/>
  <c r="F135" i="25588"/>
  <c r="G159" i="25588"/>
  <c r="C136" i="25588"/>
  <c r="F136" i="25588"/>
  <c r="E136" i="25588"/>
  <c r="D136" i="25588"/>
  <c r="G136" i="25588"/>
  <c r="G160" i="25588"/>
  <c r="G146" i="25588"/>
  <c r="E146" i="25588"/>
  <c r="F146" i="25588"/>
  <c r="D146" i="25588"/>
  <c r="C146" i="25588"/>
  <c r="G170" i="25588"/>
  <c r="F158" i="25588"/>
  <c r="D139" i="25588"/>
  <c r="F139" i="25588"/>
  <c r="G139" i="25588"/>
  <c r="E139" i="25588"/>
  <c r="C139" i="25588"/>
  <c r="G163" i="25588"/>
</calcChain>
</file>

<file path=xl/sharedStrings.xml><?xml version="1.0" encoding="utf-8"?>
<sst xmlns="http://schemas.openxmlformats.org/spreadsheetml/2006/main" count="2359" uniqueCount="322">
  <si>
    <t>R$/litro</t>
  </si>
  <si>
    <t>Mês %</t>
  </si>
  <si>
    <t>Ano %</t>
  </si>
  <si>
    <t>12 m  %</t>
  </si>
  <si>
    <t>Índice</t>
  </si>
  <si>
    <t>ÓLEO DE CÂMBIO</t>
  </si>
  <si>
    <t>DESPESAS INDIRETAS</t>
  </si>
  <si>
    <t>R$/t</t>
  </si>
  <si>
    <t>CAVALO MECÂNICO</t>
  </si>
  <si>
    <t>antes do reajuste</t>
  </si>
  <si>
    <t>aumento</t>
  </si>
  <si>
    <t>reajuste</t>
  </si>
  <si>
    <t xml:space="preserve">   antes do reajuste</t>
  </si>
  <si>
    <t>salarios 5,5%</t>
  </si>
  <si>
    <t>Mês (%)</t>
  </si>
  <si>
    <t>Ano (%)</t>
  </si>
  <si>
    <t>12 meses  (%)</t>
  </si>
  <si>
    <t>24 meses (%)</t>
  </si>
  <si>
    <t>Fonte: Departamento de Custos Operacionais e Pesquisas Econômicas - DECOPE/NTC&amp;Logística *</t>
  </si>
  <si>
    <t>Fonte: DECOPE/NTC</t>
  </si>
  <si>
    <t>Fator de pareamento</t>
  </si>
  <si>
    <t>Scania R 380 GA 4x2 NZ 360</t>
  </si>
  <si>
    <t> G 380 LA 4X2 H2</t>
  </si>
  <si>
    <t>Dissídio Coletivo - Maio/09 - 7,0%</t>
  </si>
  <si>
    <t>AUMENTO DO DIESEL EM 15% NAS REFINARIAS</t>
  </si>
  <si>
    <t>REDUÇÃO DE 15% NO DIESEL NAS REFINARIAS</t>
  </si>
  <si>
    <t>Dissídio Coletivo - Maio/11 - 9,0%</t>
  </si>
  <si>
    <t>Dissídio Coletivo - Maio/10 - 7,5%</t>
  </si>
  <si>
    <t>RODOAR</t>
  </si>
  <si>
    <t>SEGURO</t>
  </si>
  <si>
    <t>COMBUSTÍVEL</t>
  </si>
  <si>
    <t>ÓLEO DE CARTER</t>
  </si>
  <si>
    <t>SEMI-REBOQUE</t>
  </si>
  <si>
    <t>SALÁRIO MOTORÍSTA</t>
  </si>
  <si>
    <t>PNEUS</t>
  </si>
  <si>
    <t>RECAPAGEM</t>
  </si>
  <si>
    <t>LAVAGEM E LUBRIFICAÇÃO</t>
  </si>
  <si>
    <t>MANUTENÇÃO</t>
  </si>
  <si>
    <t>EVOLUÇÃO ACUMULADA NOS 12 MESES DOS PREÇOS DOS INSUMOS DO TRANSPORTE RODOVIÁRIO DE CARGAS</t>
  </si>
  <si>
    <t>INSUMOS</t>
  </si>
  <si>
    <t>PEDÁGIOS</t>
  </si>
  <si>
    <t>PESOS DOS INSUMOS NOS CUSTOS</t>
  </si>
  <si>
    <t xml:space="preserve">                         EVOLUÇÃO MENSAL DOS PREÇOS DOS INSUMOS DO TRANSPORTE RODOVIÁRIO DE CARGAS</t>
  </si>
  <si>
    <t>PNEUS, RECAPAGEM E RODOAR</t>
  </si>
  <si>
    <t>ÓLEO DE CARTER E CÂMBIO (LUBRIFICANTE)</t>
  </si>
  <si>
    <t>INCIDÊNCIA DOS CUSTOS DURANTE OS 12 MESES</t>
  </si>
  <si>
    <t>VARIAÇÃO</t>
  </si>
  <si>
    <t>Dissídio Coletivo - Maio/12 - 8,0%</t>
  </si>
  <si>
    <t xml:space="preserve">                           EVOLUCIÓN DEL TRANSPORTE DE LOS SUMINISTROS DOTACIÓN</t>
  </si>
  <si>
    <t xml:space="preserve">                 EVOLUCIÓN DEL TRANSPORTE DE LOS SUMINISTROS DOTACIÓN</t>
  </si>
  <si>
    <t xml:space="preserve"> </t>
  </si>
  <si>
    <t>Dissídio Coletivo - Maio/13 - 9,0%</t>
  </si>
  <si>
    <t>12 Meses (%)</t>
  </si>
  <si>
    <t xml:space="preserve"> EVOLUÇÃO DOS PREÇOS DOS INSUMOS DO TRANSPORTE RODOVIÁRIO DE CARGAS </t>
  </si>
  <si>
    <t>Dissídio Coletivo -  1,0%</t>
  </si>
  <si>
    <t>ANO (%)</t>
  </si>
  <si>
    <t>SÉRIE HISTÓRICA</t>
  </si>
  <si>
    <t>VARIAÇÃO (%)</t>
  </si>
  <si>
    <t>Fator de atualização</t>
  </si>
  <si>
    <t>24 m %</t>
  </si>
  <si>
    <t>Diesel comum</t>
  </si>
  <si>
    <t>Base: Out/03 = 100</t>
  </si>
  <si>
    <t>Diesel S-10</t>
  </si>
  <si>
    <t>Base: Mar/12 = 100</t>
  </si>
  <si>
    <t>ARLA - 32</t>
  </si>
  <si>
    <t>Carter</t>
  </si>
  <si>
    <t>Câmbio</t>
  </si>
  <si>
    <t>Fonte: NTC/DECOPE</t>
  </si>
  <si>
    <t>Despesas Indireta</t>
  </si>
  <si>
    <t>Salário de Motorista</t>
  </si>
  <si>
    <t>Semi Reboque</t>
  </si>
  <si>
    <t>Rodoar</t>
  </si>
  <si>
    <t>Pneu</t>
  </si>
  <si>
    <t>Recapagem</t>
  </si>
  <si>
    <t>Lavagem</t>
  </si>
  <si>
    <t>Seguros</t>
  </si>
  <si>
    <t>Manutenção e Peças</t>
  </si>
  <si>
    <t>Dissídio Coletivo -  7,5%</t>
  </si>
  <si>
    <t>Unidade</t>
  </si>
  <si>
    <t>Valor (R$)</t>
  </si>
  <si>
    <t>(%) variação Últimos 24 meses</t>
  </si>
  <si>
    <t>(%) variação últimos 12 meses</t>
  </si>
  <si>
    <t>(%) variação  ano</t>
  </si>
  <si>
    <t>Variação mês (%)</t>
  </si>
  <si>
    <t>Óleo diesel S-500</t>
  </si>
  <si>
    <t>litro</t>
  </si>
  <si>
    <t>Óleo diesel S-10</t>
  </si>
  <si>
    <t>Arla 32</t>
  </si>
  <si>
    <t>Óleo de câmbio</t>
  </si>
  <si>
    <t>Óleo de cárter</t>
  </si>
  <si>
    <t>Salário de motorista rodoviário</t>
  </si>
  <si>
    <t>mês</t>
  </si>
  <si>
    <t>unidade</t>
  </si>
  <si>
    <t>R$/km</t>
  </si>
  <si>
    <t>Fonte: Depto. Custos Operacionais e Pesquisas Econômicas/NTC&amp;Logística</t>
  </si>
  <si>
    <t>DE JULHO/94 A FEVEREIR0/00 - MBB 1218</t>
  </si>
  <si>
    <t>Variação (%)</t>
  </si>
  <si>
    <t>24 messes (%)</t>
  </si>
  <si>
    <t>12 meses (%)</t>
  </si>
  <si>
    <t>No mês (%)</t>
  </si>
  <si>
    <t>Caminhões MBB 1218</t>
  </si>
  <si>
    <t>Pneu 900 R 20</t>
  </si>
  <si>
    <t>Câmara para pneu 900 R 20</t>
  </si>
  <si>
    <t>Protetor para pneu 900 R 20</t>
  </si>
  <si>
    <t>Recauchutagem pneu 900 R 20</t>
  </si>
  <si>
    <t>Cavalo Mecânico</t>
  </si>
  <si>
    <t xml:space="preserve">Pneu 295/80 - R 22 </t>
  </si>
  <si>
    <t>Manutenção SCANIA G 400 LA 4X2 H2 (EURO 5)</t>
  </si>
  <si>
    <t>Variação Acumulado - Out/03=100(%)</t>
  </si>
  <si>
    <t>Período</t>
  </si>
  <si>
    <t>R$/mês</t>
  </si>
  <si>
    <t>R$</t>
  </si>
  <si>
    <t>R$/ton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</si>
  <si>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</si>
  <si>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</si>
  <si>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</si>
  <si>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</si>
  <si>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</si>
  <si>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</si>
  <si>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</si>
  <si>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</si>
  <si>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</si>
  <si>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</si>
  <si>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</si>
  <si>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</si>
  <si>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</si>
  <si>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</si>
  <si>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</si>
  <si>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</si>
  <si>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</si>
  <si>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</si>
  <si>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</si>
  <si>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</si>
  <si>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</si>
  <si>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</si>
  <si>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</si>
  <si>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</si>
  <si>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</si>
  <si>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</si>
  <si>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</si>
  <si>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</si>
  <si>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</si>
  <si>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</si>
  <si>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</si>
  <si>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</si>
  <si>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</si>
  <si>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</si>
  <si>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</si>
  <si>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</si>
  <si>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</si>
  <si>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</si>
  <si>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</si>
  <si>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</si>
  <si>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</si>
  <si>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</si>
  <si>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</si>
  <si>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</si>
  <si>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</si>
  <si>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</si>
  <si>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</si>
  <si>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</si>
  <si>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</si>
  <si>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</si>
  <si>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</si>
  <si>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</si>
  <si>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</si>
  <si>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</si>
  <si>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</si>
  <si>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</si>
  <si>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</si>
  <si>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</si>
  <si>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</si>
  <si>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</si>
  <si>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</si>
  <si>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</si>
  <si>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</si>
  <si>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</si>
  <si>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</si>
  <si>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</si>
  <si>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</si>
  <si>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</si>
  <si>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</si>
  <si>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</si>
  <si>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</si>
  <si>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</si>
  <si>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</si>
  <si>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</si>
  <si>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</si>
  <si>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</si>
  <si>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</si>
  <si>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</si>
  <si>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</si>
  <si>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</si>
  <si>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</si>
  <si>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</si>
  <si>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</si>
  <si>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</si>
  <si>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</si>
  <si>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</si>
  <si>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</si>
  <si>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</si>
  <si>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</si>
  <si>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</si>
  <si>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</si>
  <si>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</si>
  <si>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</si>
  <si>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</si>
  <si>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</si>
  <si>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</si>
  <si>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</si>
  <si>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</si>
  <si>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</si>
  <si>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</si>
  <si>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</si>
  <si>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</si>
  <si>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</si>
  <si>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</si>
  <si>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</si>
  <si>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</si>
  <si>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</si>
  <si>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</si>
  <si>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</si>
  <si>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</si>
  <si>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</si>
  <si>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</si>
  <si>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</si>
  <si>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</si>
  <si>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</si>
  <si>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</si>
  <si>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</si>
  <si>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</si>
  <si>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</si>
  <si>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</si>
  <si>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</si>
  <si>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</si>
  <si>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</si>
  <si>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</si>
  <si>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</si>
  <si>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</si>
  <si>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</si>
  <si>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</si>
  <si>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</si>
  <si>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</si>
  <si>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</si>
  <si>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</si>
  <si>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</si>
  <si>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</si>
  <si>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</si>
  <si>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</si>
  <si>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</si>
  <si>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</si>
  <si>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EVOLUÇÃO DOS INSUMOS DO TRANSPORTE DE CARGA LOTAÇÃO</t>
  </si>
  <si>
    <t>ABRIL|15</t>
  </si>
  <si>
    <t>MAIO|15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</si>
  <si>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</si>
  <si>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</si>
  <si>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</si>
  <si>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</si>
  <si>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</si>
  <si>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</si>
  <si>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</si>
  <si>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</si>
  <si>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FEVEREIRO|16</t>
  </si>
  <si>
    <t>MARÇO|16</t>
  </si>
  <si>
    <t>ABRIL|16</t>
  </si>
  <si>
    <t>MAIO|16</t>
  </si>
  <si>
    <t>JUNHO|16</t>
  </si>
  <si>
    <t>JULHO|16</t>
  </si>
  <si>
    <t>AGOSTO|16</t>
  </si>
  <si>
    <t>SETEMBRO|16</t>
  </si>
  <si>
    <t>OUTUBRO|16</t>
  </si>
  <si>
    <t>NOVEMBRO|16</t>
  </si>
  <si>
    <t>DEZEMBRO|16</t>
  </si>
  <si>
    <t>JANEIRO|17</t>
  </si>
  <si>
    <t>FEVEREIRO|17</t>
  </si>
  <si>
    <t>MARÇO|17</t>
  </si>
  <si>
    <t>ABRIL|17</t>
  </si>
  <si>
    <t>MAIO|17</t>
  </si>
  <si>
    <t>JUNHO|17</t>
  </si>
  <si>
    <t>JULHO|17</t>
  </si>
  <si>
    <t>AGOSTO|17</t>
  </si>
  <si>
    <t>SETEMBRO|17</t>
  </si>
  <si>
    <t>OUTUBRO|17</t>
  </si>
  <si>
    <t>NOVEMBRO|17</t>
  </si>
  <si>
    <t>EVOLUÇÃO DOS INSUMOS</t>
  </si>
  <si>
    <t>DEZEMBRO|17</t>
  </si>
  <si>
    <t>JANEIRO|18</t>
  </si>
  <si>
    <t>FEVEREIRO|18</t>
  </si>
  <si>
    <t>MARÇO|18</t>
  </si>
  <si>
    <t>ABRIL|18</t>
  </si>
  <si>
    <t>MAIO|18</t>
  </si>
  <si>
    <t>JUNHO|18</t>
  </si>
  <si>
    <t>Fonte: Departamento de Custos Operacionais e Pesquisas Econômicas - DECOPE/NTC&amp;Logística</t>
  </si>
  <si>
    <t>Dissídio Coletivo -  2,5%</t>
  </si>
  <si>
    <t>JULHO|18</t>
  </si>
  <si>
    <t>AGOSTO|18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</si>
  <si>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</si>
  <si>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</si>
  <si>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</si>
  <si>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</si>
  <si>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</si>
  <si>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</si>
  <si>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</si>
  <si>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</si>
  <si>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</si>
  <si>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</si>
  <si>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</si>
  <si>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</si>
  <si>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</si>
  <si>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</si>
  <si>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</si>
  <si>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</si>
  <si>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</si>
  <si>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</si>
  <si>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</si>
  <si>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t>ABRIL|20</t>
  </si>
  <si>
    <t>MAIO|20</t>
  </si>
  <si>
    <t>JUNHO|20</t>
  </si>
  <si>
    <t>JULHO|20</t>
  </si>
  <si>
    <t>AGOSTO|20</t>
  </si>
  <si>
    <t>SETEMBRO|20</t>
  </si>
  <si>
    <t>SETEMBRO|2020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</si>
</sst>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#,##0.000"/>
    <numFmt numFmtId="166" formatCode="#,##0.0000"/>
    <numFmt numFmtId="167" formatCode="0.0000"/>
    <numFmt numFmtId="168" formatCode="#,##0.00_);[Red]\(#,##0.00\)"/>
    <numFmt numFmtId="169" formatCode="#,##0.00000"/>
    <numFmt numFmtId="170" formatCode="0.000"/>
    <numFmt numFmtId="171" formatCode="0.00_ ;[Red]\-0.00\ "/>
    <numFmt numFmtId="172" formatCode="0.0000_ ;[Red]\-0.0000\ "/>
    <numFmt numFmtId="173" formatCode="#,##0.0000;[Red]\-#,##0.0000"/>
    <numFmt numFmtId="174" formatCode="mmmm\-yy"/>
  </numFmts>
  <fonts count="60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color indexed="9"/>
      <name val="Apple Chancery"/>
      <family val="4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name val="Cambria"/>
      <family val="1"/>
    </font>
    <font>
      <sz val="12"/>
      <name val="Cambria"/>
      <family val="1"/>
    </font>
    <font>
      <b/>
      <i/>
      <sz val="9"/>
      <name val="Arial"/>
      <family val="2"/>
    </font>
    <font>
      <i/>
      <sz val="9"/>
      <name val="Arial"/>
      <family val="2"/>
    </font>
    <font>
      <b/>
      <sz val="9"/>
      <color indexed="9"/>
      <name val="Arial"/>
      <family val="2"/>
    </font>
    <font>
      <b/>
      <sz val="14"/>
      <color indexed="9"/>
      <name val="Arial"/>
      <family val="2"/>
    </font>
    <font>
      <sz val="15"/>
      <name val="Arial"/>
      <family val="2"/>
    </font>
    <font>
      <i/>
      <sz val="15"/>
      <name val="Arial"/>
      <family val="2"/>
    </font>
    <font>
      <b/>
      <sz val="18"/>
      <color indexed="9"/>
      <name val="Apple Chancery"/>
      <family val="4"/>
    </font>
    <font>
      <sz val="14"/>
      <name val="Cambria"/>
      <family val="1"/>
    </font>
    <font>
      <b/>
      <sz val="16"/>
      <color indexed="9"/>
      <name val="Arial"/>
      <family val="2"/>
    </font>
    <font>
      <b/>
      <sz val="16"/>
      <name val="Cambria"/>
      <family val="1"/>
    </font>
    <font>
      <sz val="16"/>
      <name val="Cambria"/>
      <family val="1"/>
    </font>
    <font>
      <b/>
      <i/>
      <sz val="16"/>
      <name val="Cambria"/>
      <family val="1"/>
    </font>
    <font>
      <sz val="20"/>
      <name val="Arial"/>
      <family val="2"/>
    </font>
    <font>
      <b/>
      <i/>
      <sz val="20"/>
      <name val="Arial"/>
      <family val="2"/>
    </font>
    <font>
      <b/>
      <sz val="20"/>
      <color indexed="9"/>
      <name val="Arial"/>
      <family val="2"/>
    </font>
    <font>
      <b/>
      <sz val="17"/>
      <color indexed="9"/>
      <name val="Apple Chancery"/>
      <family val="4"/>
    </font>
    <font>
      <b/>
      <i/>
      <sz val="14"/>
      <name val="Arial"/>
      <family val="2"/>
    </font>
    <font>
      <b/>
      <i/>
      <sz val="16"/>
      <name val="Arial"/>
      <family val="2"/>
    </font>
    <font>
      <b/>
      <sz val="12"/>
      <name val="Cambria"/>
      <family val="1"/>
      <scheme val="major"/>
    </font>
    <font>
      <b/>
      <i/>
      <sz val="9"/>
      <color rgb="FFFF0000"/>
      <name val="Arial"/>
      <family val="2"/>
    </font>
    <font>
      <sz val="15"/>
      <name val="Cambria"/>
      <family val="1"/>
      <scheme val="major"/>
    </font>
    <font>
      <b/>
      <i/>
      <sz val="10"/>
      <color rgb="FFFF0000"/>
      <name val="Arial"/>
      <family val="2"/>
    </font>
    <font>
      <b/>
      <i/>
      <sz val="15"/>
      <color theme="3"/>
      <name val="Arial"/>
      <family val="2"/>
    </font>
    <font>
      <sz val="16"/>
      <name val="Cambria"/>
      <family val="1"/>
      <scheme val="major"/>
    </font>
    <font>
      <b/>
      <i/>
      <sz val="20"/>
      <color rgb="FFFF0000"/>
      <name val="Arial"/>
      <family val="2"/>
    </font>
    <font>
      <b/>
      <sz val="16"/>
      <name val="Cambria"/>
      <family val="1"/>
      <scheme val="maj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rgb="FF18478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184782"/>
      <name val="Calibri"/>
      <family val="2"/>
      <scheme val="minor"/>
    </font>
    <font>
      <sz val="11.5"/>
      <name val="Calibri"/>
      <family val="2"/>
      <scheme val="minor"/>
    </font>
    <font>
      <b/>
      <i/>
      <sz val="10"/>
      <color rgb="FF184782"/>
      <name val="Calibri"/>
      <family val="2"/>
      <scheme val="minor"/>
    </font>
    <font>
      <b/>
      <i/>
      <sz val="9"/>
      <color indexed="10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.5"/>
      <name val="Calibri"/>
      <family val="2"/>
      <scheme val="minor"/>
    </font>
    <font>
      <b/>
      <sz val="10"/>
      <color rgb="FF184782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rgb="FF184782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sz val="13"/>
      <color indexed="9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darkGray">
        <bgColor indexed="30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9" tint="0.59996337778862885"/>
      </patternFill>
    </fill>
    <fill>
      <patternFill patternType="solid">
        <fgColor rgb="FFCF9E4D"/>
        <bgColor indexed="64"/>
      </patternFill>
    </fill>
    <fill>
      <patternFill patternType="solid">
        <fgColor rgb="FF184782"/>
        <bgColor indexed="64"/>
      </patternFill>
    </fill>
    <fill>
      <patternFill patternType="solid">
        <fgColor theme="4" tint="0.79998168889431442"/>
        <bgColor indexed="64"/>
      </patternFill>
    </fill>
  </fills>
  <borders count="10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3366"/>
      </left>
      <right style="medium">
        <color theme="0" tint="-0.14996795556505021"/>
      </right>
      <top style="medium">
        <color rgb="FF003366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003366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003366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003366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003366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rgb="FF003366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rgb="FF184782"/>
      </right>
      <top/>
      <bottom/>
      <diagonal/>
    </border>
    <border>
      <left style="medium">
        <color rgb="FF184782"/>
      </left>
      <right style="medium">
        <color theme="0" tint="-0.14996795556505021"/>
      </right>
      <top/>
      <bottom style="medium">
        <color rgb="FF003366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rgb="FF184782"/>
      </right>
      <top style="medium">
        <color rgb="FF184782"/>
      </top>
      <bottom/>
      <diagonal/>
    </border>
    <border>
      <left style="medium">
        <color rgb="FF184782"/>
      </left>
      <right style="medium">
        <color rgb="FF184782"/>
      </right>
      <top/>
      <bottom style="medium">
        <color rgb="FF184782"/>
      </bottom>
      <diagonal/>
    </border>
    <border>
      <left style="medium">
        <color theme="0" tint="-0.14996795556505021"/>
      </left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/>
      <right style="medium">
        <color rgb="FF184782"/>
      </right>
      <top style="medium">
        <color rgb="FF184782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/>
      <diagonal/>
    </border>
    <border>
      <left style="medium">
        <color rgb="FF184782"/>
      </left>
      <right/>
      <top style="medium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theme="0" tint="-0.14996795556505021"/>
      </left>
      <right/>
      <top style="medium">
        <color rgb="FF184782"/>
      </top>
      <bottom/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/>
      <right/>
      <top/>
      <bottom style="medium">
        <color rgb="FF184782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/>
      <bottom style="medium">
        <color theme="0" tint="-0.14996795556505021"/>
      </bottom>
      <diagonal/>
    </border>
    <border>
      <left style="medium">
        <color rgb="FF184782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/>
      <top style="thin">
        <color theme="0" tint="-0.14996795556505021"/>
      </top>
      <bottom/>
      <diagonal/>
    </border>
    <border>
      <left style="medium">
        <color rgb="FF184782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3743705557422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thin">
        <color theme="0" tint="-0.14993743705557422"/>
      </bottom>
      <diagonal/>
    </border>
    <border>
      <left style="medium">
        <color rgb="FF184782"/>
      </left>
      <right style="medium">
        <color rgb="FF184782"/>
      </right>
      <top style="medium">
        <color theme="0" tint="-0.14996795556505021"/>
      </top>
      <bottom style="thin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rgb="FF184782"/>
      </left>
      <right style="medium">
        <color rgb="FF18478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3743705557422"/>
      </top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medium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3743705557422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3743705557422"/>
      </top>
      <bottom/>
      <diagonal/>
    </border>
    <border>
      <left style="medium">
        <color theme="0" tint="-0.14996795556505021"/>
      </left>
      <right/>
      <top style="thin">
        <color theme="0" tint="-0.14993743705557422"/>
      </top>
      <bottom/>
      <diagonal/>
    </border>
    <border>
      <left style="medium">
        <color rgb="FF184782"/>
      </left>
      <right style="medium">
        <color rgb="FF184782"/>
      </right>
      <top style="thin">
        <color theme="0" tint="-0.14993743705557422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43" fontId="59" fillId="0" borderId="0" applyFont="0" applyFill="0" applyBorder="0" applyAlignment="0" applyProtection="0"/>
  </cellStyleXfs>
  <cellXfs count="338">
    <xf numFmtId="0" fontId="0" fillId="0" borderId="0" xfId="0"/>
    <xf numFmtId="0" fontId="5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center" wrapText="1"/>
    </xf>
    <xf numFmtId="4" fontId="2" fillId="5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top" wrapText="1"/>
    </xf>
    <xf numFmtId="0" fontId="7" fillId="4" borderId="3" xfId="0" applyFont="1" applyFill="1" applyBorder="1" applyAlignment="1">
      <alignment vertical="top" wrapText="1"/>
    </xf>
    <xf numFmtId="4" fontId="2" fillId="0" borderId="0" xfId="0" applyNumberFormat="1" applyFont="1" applyAlignment="1">
      <alignment vertical="center"/>
    </xf>
    <xf numFmtId="4" fontId="27" fillId="4" borderId="3" xfId="0" applyNumberFormat="1" applyFont="1" applyFill="1" applyBorder="1" applyAlignment="1">
      <alignment horizontal="left" vertical="top" wrapText="1"/>
    </xf>
    <xf numFmtId="4" fontId="8" fillId="6" borderId="4" xfId="3" applyNumberFormat="1" applyFont="1" applyFill="1" applyBorder="1" applyAlignment="1">
      <alignment horizontal="center" vertical="top" wrapText="1"/>
    </xf>
    <xf numFmtId="17" fontId="28" fillId="5" borderId="0" xfId="0" applyNumberFormat="1" applyFont="1" applyFill="1" applyAlignment="1">
      <alignment vertical="center"/>
    </xf>
    <xf numFmtId="0" fontId="9" fillId="5" borderId="0" xfId="0" applyFont="1" applyFill="1" applyAlignment="1">
      <alignment vertical="top" wrapText="1"/>
    </xf>
    <xf numFmtId="0" fontId="9" fillId="5" borderId="0" xfId="0" applyFont="1" applyFill="1" applyAlignment="1">
      <alignment horizontal="center" vertical="center" wrapText="1"/>
    </xf>
    <xf numFmtId="4" fontId="10" fillId="5" borderId="0" xfId="0" applyNumberFormat="1" applyFont="1" applyFill="1" applyAlignment="1">
      <alignment vertical="center"/>
    </xf>
    <xf numFmtId="0" fontId="7" fillId="4" borderId="5" xfId="0" applyFont="1" applyFill="1" applyBorder="1" applyAlignment="1">
      <alignment vertical="top" wrapText="1"/>
    </xf>
    <xf numFmtId="17" fontId="6" fillId="3" borderId="6" xfId="0" applyNumberFormat="1" applyFont="1" applyFill="1" applyBorder="1" applyAlignment="1">
      <alignment horizontal="center" vertical="center" wrapText="1"/>
    </xf>
    <xf numFmtId="17" fontId="11" fillId="3" borderId="6" xfId="0" applyNumberFormat="1" applyFont="1" applyFill="1" applyBorder="1" applyAlignment="1">
      <alignment horizontal="center" vertical="center" wrapText="1"/>
    </xf>
    <xf numFmtId="10" fontId="8" fillId="6" borderId="4" xfId="3" applyNumberFormat="1" applyFont="1" applyFill="1" applyBorder="1" applyAlignment="1">
      <alignment horizontal="center" vertical="top" wrapText="1"/>
    </xf>
    <xf numFmtId="4" fontId="5" fillId="5" borderId="4" xfId="0" applyNumberFormat="1" applyFont="1" applyFill="1" applyBorder="1" applyAlignment="1">
      <alignment vertical="center"/>
    </xf>
    <xf numFmtId="166" fontId="8" fillId="6" borderId="4" xfId="3" applyNumberFormat="1" applyFont="1" applyFill="1" applyBorder="1" applyAlignment="1">
      <alignment horizontal="center" vertical="top" wrapText="1"/>
    </xf>
    <xf numFmtId="166" fontId="8" fillId="6" borderId="7" xfId="3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vertical="top" wrapText="1"/>
    </xf>
    <xf numFmtId="166" fontId="8" fillId="6" borderId="8" xfId="3" applyNumberFormat="1" applyFont="1" applyFill="1" applyBorder="1" applyAlignment="1">
      <alignment horizontal="center" vertical="top" wrapText="1"/>
    </xf>
    <xf numFmtId="0" fontId="7" fillId="4" borderId="9" xfId="0" applyFont="1" applyFill="1" applyBorder="1" applyAlignment="1">
      <alignment vertical="top" wrapText="1"/>
    </xf>
    <xf numFmtId="0" fontId="7" fillId="4" borderId="10" xfId="0" applyFont="1" applyFill="1" applyBorder="1" applyAlignment="1">
      <alignment vertical="top" wrapText="1"/>
    </xf>
    <xf numFmtId="4" fontId="8" fillId="6" borderId="11" xfId="3" applyNumberFormat="1" applyFont="1" applyFill="1" applyBorder="1" applyAlignment="1">
      <alignment horizontal="center" vertical="top" wrapText="1"/>
    </xf>
    <xf numFmtId="4" fontId="13" fillId="5" borderId="0" xfId="0" applyNumberFormat="1" applyFont="1" applyFill="1" applyAlignment="1">
      <alignment vertical="center"/>
    </xf>
    <xf numFmtId="166" fontId="13" fillId="5" borderId="0" xfId="0" applyNumberFormat="1" applyFont="1" applyFill="1" applyAlignment="1">
      <alignment vertical="center"/>
    </xf>
    <xf numFmtId="169" fontId="13" fillId="5" borderId="0" xfId="0" applyNumberFormat="1" applyFont="1" applyFill="1" applyAlignment="1">
      <alignment vertical="center"/>
    </xf>
    <xf numFmtId="4" fontId="29" fillId="5" borderId="0" xfId="0" applyNumberFormat="1" applyFont="1" applyFill="1" applyAlignment="1">
      <alignment horizontal="center" vertical="center"/>
    </xf>
    <xf numFmtId="4" fontId="14" fillId="5" borderId="0" xfId="0" applyNumberFormat="1" applyFont="1" applyFill="1" applyAlignment="1">
      <alignment vertical="center"/>
    </xf>
    <xf numFmtId="17" fontId="12" fillId="3" borderId="6" xfId="0" applyNumberFormat="1" applyFont="1" applyFill="1" applyBorder="1" applyAlignment="1">
      <alignment horizontal="center" vertical="center" wrapText="1"/>
    </xf>
    <xf numFmtId="172" fontId="16" fillId="6" borderId="12" xfId="3" applyNumberFormat="1" applyFont="1" applyFill="1" applyBorder="1" applyAlignment="1">
      <alignment horizontal="center" vertical="top" wrapText="1"/>
    </xf>
    <xf numFmtId="17" fontId="30" fillId="5" borderId="0" xfId="0" applyNumberFormat="1" applyFont="1" applyFill="1" applyAlignment="1">
      <alignment vertical="center"/>
    </xf>
    <xf numFmtId="17" fontId="31" fillId="5" borderId="0" xfId="0" applyNumberFormat="1" applyFont="1" applyFill="1" applyAlignment="1">
      <alignment vertical="center"/>
    </xf>
    <xf numFmtId="17" fontId="17" fillId="3" borderId="1" xfId="0" applyNumberFormat="1" applyFont="1" applyFill="1" applyBorder="1" applyAlignment="1">
      <alignment horizontal="center" vertical="center" wrapText="1"/>
    </xf>
    <xf numFmtId="171" fontId="32" fillId="7" borderId="4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17" fontId="33" fillId="5" borderId="0" xfId="0" applyNumberFormat="1" applyFont="1" applyFill="1" applyAlignment="1">
      <alignment vertical="center"/>
    </xf>
    <xf numFmtId="0" fontId="22" fillId="5" borderId="0" xfId="0" applyFont="1" applyFill="1" applyAlignment="1">
      <alignment vertical="top" wrapText="1"/>
    </xf>
    <xf numFmtId="0" fontId="22" fillId="5" borderId="0" xfId="0" applyFont="1" applyFill="1" applyAlignment="1">
      <alignment horizontal="center" vertical="center" wrapText="1"/>
    </xf>
    <xf numFmtId="171" fontId="16" fillId="6" borderId="12" xfId="3" applyNumberFormat="1" applyFont="1" applyFill="1" applyBorder="1" applyAlignment="1">
      <alignment horizontal="center" vertical="top" wrapText="1"/>
    </xf>
    <xf numFmtId="49" fontId="25" fillId="0" borderId="0" xfId="0" quotePrefix="1" applyNumberFormat="1" applyFont="1" applyAlignment="1">
      <alignment vertical="center" wrapText="1"/>
    </xf>
    <xf numFmtId="4" fontId="15" fillId="0" borderId="0" xfId="0" applyNumberFormat="1" applyFont="1" applyAlignment="1">
      <alignment vertical="center"/>
    </xf>
    <xf numFmtId="49" fontId="12" fillId="3" borderId="13" xfId="0" applyNumberFormat="1" applyFont="1" applyFill="1" applyBorder="1" applyAlignment="1">
      <alignment horizontal="center" vertical="center" wrapText="1"/>
    </xf>
    <xf numFmtId="49" fontId="12" fillId="3" borderId="14" xfId="0" applyNumberFormat="1" applyFont="1" applyFill="1" applyBorder="1" applyAlignment="1">
      <alignment horizontal="center" vertical="center" wrapText="1"/>
    </xf>
    <xf numFmtId="171" fontId="19" fillId="6" borderId="15" xfId="3" applyNumberFormat="1" applyFont="1" applyFill="1" applyBorder="1" applyAlignment="1">
      <alignment horizontal="center" vertical="center" wrapText="1"/>
    </xf>
    <xf numFmtId="171" fontId="19" fillId="6" borderId="4" xfId="3" applyNumberFormat="1" applyFont="1" applyFill="1" applyBorder="1" applyAlignment="1">
      <alignment horizontal="center" vertical="center" wrapText="1"/>
    </xf>
    <xf numFmtId="171" fontId="19" fillId="6" borderId="16" xfId="3" applyNumberFormat="1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vertical="top" wrapText="1"/>
    </xf>
    <xf numFmtId="0" fontId="18" fillId="4" borderId="9" xfId="0" applyFont="1" applyFill="1" applyBorder="1" applyAlignment="1">
      <alignment vertical="top" wrapText="1"/>
    </xf>
    <xf numFmtId="4" fontId="34" fillId="4" borderId="9" xfId="0" applyNumberFormat="1" applyFont="1" applyFill="1" applyBorder="1" applyAlignment="1">
      <alignment horizontal="left" vertical="top" wrapText="1"/>
    </xf>
    <xf numFmtId="0" fontId="18" fillId="4" borderId="17" xfId="0" applyFont="1" applyFill="1" applyBorder="1" applyAlignment="1">
      <alignment vertical="top" wrapText="1"/>
    </xf>
    <xf numFmtId="171" fontId="19" fillId="6" borderId="2" xfId="3" applyNumberFormat="1" applyFont="1" applyFill="1" applyBorder="1" applyAlignment="1">
      <alignment horizontal="center" vertical="center" wrapText="1"/>
    </xf>
    <xf numFmtId="171" fontId="20" fillId="6" borderId="12" xfId="3" applyNumberFormat="1" applyFont="1" applyFill="1" applyBorder="1" applyAlignment="1">
      <alignment horizontal="right" vertical="center" wrapText="1"/>
    </xf>
    <xf numFmtId="171" fontId="19" fillId="6" borderId="3" xfId="3" applyNumberFormat="1" applyFont="1" applyFill="1" applyBorder="1" applyAlignment="1">
      <alignment horizontal="center" vertical="center" wrapText="1"/>
    </xf>
    <xf numFmtId="171" fontId="32" fillId="7" borderId="3" xfId="0" applyNumberFormat="1" applyFont="1" applyFill="1" applyBorder="1" applyAlignment="1">
      <alignment horizontal="center" vertical="center"/>
    </xf>
    <xf numFmtId="171" fontId="19" fillId="6" borderId="18" xfId="3" applyNumberFormat="1" applyFont="1" applyFill="1" applyBorder="1" applyAlignment="1">
      <alignment horizontal="center" vertical="center" wrapText="1"/>
    </xf>
    <xf numFmtId="171" fontId="20" fillId="6" borderId="19" xfId="3" applyNumberFormat="1" applyFont="1" applyFill="1" applyBorder="1" applyAlignment="1">
      <alignment horizontal="right" vertical="center" wrapText="1"/>
    </xf>
    <xf numFmtId="0" fontId="7" fillId="4" borderId="18" xfId="0" applyFont="1" applyFill="1" applyBorder="1" applyAlignment="1">
      <alignment vertical="top" wrapText="1"/>
    </xf>
    <xf numFmtId="172" fontId="16" fillId="6" borderId="20" xfId="3" applyNumberFormat="1" applyFont="1" applyFill="1" applyBorder="1" applyAlignment="1">
      <alignment horizontal="center" vertical="top" wrapText="1"/>
    </xf>
    <xf numFmtId="171" fontId="16" fillId="6" borderId="21" xfId="3" applyNumberFormat="1" applyFont="1" applyFill="1" applyBorder="1" applyAlignment="1">
      <alignment horizontal="center" vertical="top" wrapText="1"/>
    </xf>
    <xf numFmtId="0" fontId="35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0" fontId="36" fillId="0" borderId="26" xfId="0" applyFont="1" applyBorder="1" applyAlignment="1">
      <alignment horizontal="center" vertical="center"/>
    </xf>
    <xf numFmtId="2" fontId="36" fillId="0" borderId="27" xfId="0" applyNumberFormat="1" applyFont="1" applyBorder="1" applyAlignment="1">
      <alignment horizontal="center" vertical="center"/>
    </xf>
    <xf numFmtId="168" fontId="36" fillId="0" borderId="27" xfId="0" applyNumberFormat="1" applyFont="1" applyBorder="1" applyAlignment="1">
      <alignment horizontal="center" vertical="center"/>
    </xf>
    <xf numFmtId="0" fontId="35" fillId="0" borderId="0" xfId="0" applyFont="1"/>
    <xf numFmtId="0" fontId="36" fillId="0" borderId="28" xfId="0" applyFont="1" applyBorder="1" applyAlignment="1">
      <alignment vertical="center"/>
    </xf>
    <xf numFmtId="0" fontId="36" fillId="0" borderId="29" xfId="0" applyFont="1" applyBorder="1" applyAlignment="1">
      <alignment horizontal="center" vertical="center"/>
    </xf>
    <xf numFmtId="40" fontId="36" fillId="0" borderId="30" xfId="0" applyNumberFormat="1" applyFont="1" applyBorder="1" applyAlignment="1">
      <alignment horizontal="center" vertical="center"/>
    </xf>
    <xf numFmtId="168" fontId="36" fillId="0" borderId="30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4" fontId="36" fillId="0" borderId="30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8" fillId="0" borderId="0" xfId="0" quotePrefix="1" applyFont="1" applyAlignment="1">
      <alignment horizontal="left" vertical="center"/>
    </xf>
    <xf numFmtId="0" fontId="35" fillId="2" borderId="0" xfId="0" applyFont="1" applyFill="1" applyAlignment="1">
      <alignment vertical="center"/>
    </xf>
    <xf numFmtId="0" fontId="39" fillId="0" borderId="4" xfId="0" applyFont="1" applyBorder="1" applyAlignment="1">
      <alignment vertical="center"/>
    </xf>
    <xf numFmtId="0" fontId="39" fillId="0" borderId="4" xfId="0" applyFont="1" applyBorder="1" applyAlignment="1">
      <alignment horizontal="center" vertical="center"/>
    </xf>
    <xf numFmtId="0" fontId="35" fillId="0" borderId="4" xfId="0" applyFont="1" applyBorder="1" applyAlignment="1">
      <alignment vertical="center"/>
    </xf>
    <xf numFmtId="0" fontId="35" fillId="0" borderId="4" xfId="0" applyFont="1" applyBorder="1" applyAlignment="1">
      <alignment horizontal="center" vertical="center"/>
    </xf>
    <xf numFmtId="4" fontId="35" fillId="0" borderId="4" xfId="0" applyNumberFormat="1" applyFont="1" applyBorder="1" applyAlignment="1">
      <alignment horizontal="center" vertical="center"/>
    </xf>
    <xf numFmtId="2" fontId="35" fillId="0" borderId="4" xfId="0" applyNumberFormat="1" applyFont="1" applyBorder="1" applyAlignment="1">
      <alignment horizontal="center" vertical="center"/>
    </xf>
    <xf numFmtId="17" fontId="40" fillId="0" borderId="0" xfId="0" applyNumberFormat="1" applyFont="1"/>
    <xf numFmtId="2" fontId="36" fillId="0" borderId="0" xfId="0" applyNumberFormat="1" applyFont="1" applyAlignment="1">
      <alignment horizontal="center"/>
    </xf>
    <xf numFmtId="0" fontId="36" fillId="0" borderId="0" xfId="0" applyFont="1"/>
    <xf numFmtId="0" fontId="41" fillId="0" borderId="0" xfId="0" applyFont="1"/>
    <xf numFmtId="0" fontId="40" fillId="0" borderId="0" xfId="0" applyFont="1"/>
    <xf numFmtId="168" fontId="36" fillId="0" borderId="32" xfId="0" applyNumberFormat="1" applyFont="1" applyBorder="1" applyAlignment="1">
      <alignment horizontal="center" vertical="center"/>
    </xf>
    <xf numFmtId="168" fontId="36" fillId="0" borderId="33" xfId="0" applyNumberFormat="1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2" fontId="36" fillId="0" borderId="35" xfId="0" applyNumberFormat="1" applyFont="1" applyBorder="1" applyAlignment="1">
      <alignment horizontal="center" vertical="center"/>
    </xf>
    <xf numFmtId="168" fontId="36" fillId="0" borderId="35" xfId="0" applyNumberFormat="1" applyFont="1" applyBorder="1" applyAlignment="1">
      <alignment horizontal="center" vertical="center"/>
    </xf>
    <xf numFmtId="168" fontId="36" fillId="0" borderId="36" xfId="0" applyNumberFormat="1" applyFont="1" applyBorder="1" applyAlignment="1">
      <alignment horizontal="center" vertical="center"/>
    </xf>
    <xf numFmtId="0" fontId="36" fillId="0" borderId="37" xfId="0" applyFont="1" applyBorder="1" applyAlignment="1">
      <alignment vertical="center"/>
    </xf>
    <xf numFmtId="17" fontId="42" fillId="8" borderId="38" xfId="0" applyNumberFormat="1" applyFont="1" applyFill="1" applyBorder="1" applyAlignment="1">
      <alignment horizontal="center" vertical="center" wrapText="1"/>
    </xf>
    <xf numFmtId="0" fontId="42" fillId="8" borderId="38" xfId="0" applyFont="1" applyFill="1" applyBorder="1" applyAlignment="1">
      <alignment horizontal="center" vertical="center" wrapText="1"/>
    </xf>
    <xf numFmtId="0" fontId="42" fillId="8" borderId="39" xfId="0" applyFont="1" applyFill="1" applyBorder="1" applyAlignment="1">
      <alignment horizontal="center" vertical="center" wrapText="1"/>
    </xf>
    <xf numFmtId="0" fontId="42" fillId="8" borderId="40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45" fillId="0" borderId="0" xfId="0" applyFont="1"/>
    <xf numFmtId="4" fontId="35" fillId="0" borderId="0" xfId="0" applyNumberFormat="1" applyFont="1"/>
    <xf numFmtId="11" fontId="35" fillId="0" borderId="0" xfId="0" applyNumberFormat="1" applyFont="1"/>
    <xf numFmtId="0" fontId="39" fillId="0" borderId="0" xfId="0" applyFont="1"/>
    <xf numFmtId="4" fontId="39" fillId="0" borderId="0" xfId="0" applyNumberFormat="1" applyFont="1"/>
    <xf numFmtId="4" fontId="39" fillId="0" borderId="0" xfId="0" applyNumberFormat="1" applyFont="1" applyAlignment="1">
      <alignment horizontal="right"/>
    </xf>
    <xf numFmtId="0" fontId="39" fillId="0" borderId="0" xfId="0" applyFont="1" applyAlignment="1">
      <alignment horizontal="right"/>
    </xf>
    <xf numFmtId="0" fontId="35" fillId="0" borderId="0" xfId="0" applyFont="1" applyAlignment="1">
      <alignment horizontal="right"/>
    </xf>
    <xf numFmtId="0" fontId="35" fillId="0" borderId="0" xfId="0" applyFont="1" applyAlignment="1">
      <alignment horizontal="left"/>
    </xf>
    <xf numFmtId="17" fontId="45" fillId="0" borderId="0" xfId="0" applyNumberFormat="1" applyFont="1"/>
    <xf numFmtId="165" fontId="44" fillId="0" borderId="0" xfId="0" applyNumberFormat="1" applyFont="1"/>
    <xf numFmtId="4" fontId="44" fillId="0" borderId="0" xfId="0" applyNumberFormat="1" applyFont="1" applyAlignment="1">
      <alignment horizontal="right"/>
    </xf>
    <xf numFmtId="40" fontId="44" fillId="0" borderId="0" xfId="0" applyNumberFormat="1" applyFont="1" applyAlignment="1">
      <alignment horizontal="right"/>
    </xf>
    <xf numFmtId="40" fontId="44" fillId="0" borderId="0" xfId="0" applyNumberFormat="1" applyFont="1"/>
    <xf numFmtId="2" fontId="44" fillId="0" borderId="0" xfId="0" applyNumberFormat="1" applyFont="1"/>
    <xf numFmtId="166" fontId="44" fillId="0" borderId="0" xfId="0" applyNumberFormat="1" applyFont="1" applyAlignment="1">
      <alignment horizontal="right"/>
    </xf>
    <xf numFmtId="0" fontId="46" fillId="0" borderId="0" xfId="0" applyFont="1"/>
    <xf numFmtId="0" fontId="47" fillId="0" borderId="0" xfId="0" applyFont="1"/>
    <xf numFmtId="0" fontId="35" fillId="0" borderId="0" xfId="0" applyFont="1" applyAlignment="1">
      <alignment horizontal="center"/>
    </xf>
    <xf numFmtId="0" fontId="48" fillId="0" borderId="0" xfId="0" applyFont="1"/>
    <xf numFmtId="17" fontId="47" fillId="0" borderId="0" xfId="0" applyNumberFormat="1" applyFont="1"/>
    <xf numFmtId="165" fontId="47" fillId="0" borderId="0" xfId="0" applyNumberFormat="1" applyFont="1"/>
    <xf numFmtId="0" fontId="50" fillId="0" borderId="0" xfId="0" applyFont="1"/>
    <xf numFmtId="17" fontId="39" fillId="5" borderId="41" xfId="0" applyNumberFormat="1" applyFont="1" applyFill="1" applyBorder="1" applyAlignment="1">
      <alignment horizontal="center" vertical="center"/>
    </xf>
    <xf numFmtId="17" fontId="39" fillId="5" borderId="30" xfId="0" applyNumberFormat="1" applyFont="1" applyFill="1" applyBorder="1" applyAlignment="1">
      <alignment horizontal="center" vertical="center"/>
    </xf>
    <xf numFmtId="17" fontId="39" fillId="0" borderId="46" xfId="0" applyNumberFormat="1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5" fillId="0" borderId="47" xfId="0" applyFont="1" applyBorder="1" applyAlignment="1">
      <alignment vertical="center"/>
    </xf>
    <xf numFmtId="0" fontId="43" fillId="0" borderId="48" xfId="0" applyFont="1" applyBorder="1" applyAlignment="1">
      <alignment horizontal="center" vertical="center" wrapText="1"/>
    </xf>
    <xf numFmtId="4" fontId="36" fillId="0" borderId="27" xfId="0" applyNumberFormat="1" applyFont="1" applyBorder="1" applyAlignment="1">
      <alignment horizontal="center" vertical="center"/>
    </xf>
    <xf numFmtId="166" fontId="36" fillId="0" borderId="35" xfId="0" applyNumberFormat="1" applyFont="1" applyBorder="1" applyAlignment="1">
      <alignment horizontal="center" vertical="center"/>
    </xf>
    <xf numFmtId="0" fontId="51" fillId="9" borderId="42" xfId="0" applyFont="1" applyFill="1" applyBorder="1" applyAlignment="1">
      <alignment vertical="center" wrapText="1"/>
    </xf>
    <xf numFmtId="0" fontId="51" fillId="9" borderId="50" xfId="0" applyFont="1" applyFill="1" applyBorder="1" applyAlignment="1">
      <alignment vertical="center" wrapText="1"/>
    </xf>
    <xf numFmtId="0" fontId="51" fillId="9" borderId="28" xfId="0" applyFont="1" applyFill="1" applyBorder="1" applyAlignment="1">
      <alignment horizontal="left" vertical="center"/>
    </xf>
    <xf numFmtId="17" fontId="51" fillId="9" borderId="51" xfId="0" applyNumberFormat="1" applyFont="1" applyFill="1" applyBorder="1" applyAlignment="1">
      <alignment vertical="center"/>
    </xf>
    <xf numFmtId="17" fontId="51" fillId="9" borderId="52" xfId="0" applyNumberFormat="1" applyFont="1" applyFill="1" applyBorder="1" applyAlignment="1">
      <alignment vertical="center"/>
    </xf>
    <xf numFmtId="17" fontId="51" fillId="9" borderId="53" xfId="0" applyNumberFormat="1" applyFont="1" applyFill="1" applyBorder="1" applyAlignment="1">
      <alignment vertical="center"/>
    </xf>
    <xf numFmtId="0" fontId="51" fillId="9" borderId="28" xfId="0" applyFont="1" applyFill="1" applyBorder="1" applyAlignment="1">
      <alignment vertical="center"/>
    </xf>
    <xf numFmtId="0" fontId="51" fillId="9" borderId="42" xfId="0" applyFont="1" applyFill="1" applyBorder="1" applyAlignment="1">
      <alignment vertical="center"/>
    </xf>
    <xf numFmtId="0" fontId="51" fillId="9" borderId="50" xfId="0" applyFont="1" applyFill="1" applyBorder="1" applyAlignment="1">
      <alignment vertical="center"/>
    </xf>
    <xf numFmtId="0" fontId="51" fillId="9" borderId="55" xfId="0" applyFont="1" applyFill="1" applyBorder="1" applyAlignment="1">
      <alignment vertical="center"/>
    </xf>
    <xf numFmtId="17" fontId="51" fillId="9" borderId="51" xfId="0" applyNumberFormat="1" applyFont="1" applyFill="1" applyBorder="1"/>
    <xf numFmtId="17" fontId="51" fillId="9" borderId="52" xfId="0" applyNumberFormat="1" applyFont="1" applyFill="1" applyBorder="1"/>
    <xf numFmtId="168" fontId="44" fillId="0" borderId="57" xfId="0" applyNumberFormat="1" applyFont="1" applyBorder="1" applyAlignment="1">
      <alignment horizontal="right"/>
    </xf>
    <xf numFmtId="168" fontId="44" fillId="0" borderId="57" xfId="0" applyNumberFormat="1" applyFont="1" applyBorder="1"/>
    <xf numFmtId="168" fontId="44" fillId="0" borderId="58" xfId="0" applyNumberFormat="1" applyFont="1" applyBorder="1"/>
    <xf numFmtId="2" fontId="35" fillId="0" borderId="0" xfId="0" applyNumberFormat="1" applyFont="1"/>
    <xf numFmtId="10" fontId="35" fillId="0" borderId="0" xfId="3" applyNumberFormat="1" applyFont="1"/>
    <xf numFmtId="17" fontId="39" fillId="10" borderId="67" xfId="2" applyNumberFormat="1" applyFont="1" applyFill="1" applyBorder="1" applyAlignment="1">
      <alignment horizontal="left"/>
    </xf>
    <xf numFmtId="165" fontId="44" fillId="0" borderId="68" xfId="0" applyNumberFormat="1" applyFont="1" applyBorder="1"/>
    <xf numFmtId="4" fontId="44" fillId="0" borderId="68" xfId="0" applyNumberFormat="1" applyFont="1" applyBorder="1" applyAlignment="1">
      <alignment horizontal="right"/>
    </xf>
    <xf numFmtId="168" fontId="44" fillId="0" borderId="68" xfId="0" applyNumberFormat="1" applyFont="1" applyBorder="1" applyAlignment="1">
      <alignment horizontal="right"/>
    </xf>
    <xf numFmtId="168" fontId="44" fillId="0" borderId="68" xfId="0" applyNumberFormat="1" applyFont="1" applyBorder="1"/>
    <xf numFmtId="168" fontId="44" fillId="0" borderId="69" xfId="0" applyNumberFormat="1" applyFont="1" applyBorder="1"/>
    <xf numFmtId="166" fontId="44" fillId="0" borderId="66" xfId="0" applyNumberFormat="1" applyFont="1" applyBorder="1" applyAlignment="1">
      <alignment horizontal="right"/>
    </xf>
    <xf numFmtId="17" fontId="39" fillId="10" borderId="70" xfId="2" applyNumberFormat="1" applyFont="1" applyFill="1" applyBorder="1" applyAlignment="1">
      <alignment horizontal="left"/>
    </xf>
    <xf numFmtId="170" fontId="44" fillId="0" borderId="57" xfId="0" applyNumberFormat="1" applyFont="1" applyBorder="1" applyAlignment="1">
      <alignment horizontal="right"/>
    </xf>
    <xf numFmtId="4" fontId="44" fillId="0" borderId="57" xfId="0" applyNumberFormat="1" applyFont="1" applyBorder="1" applyAlignment="1">
      <alignment horizontal="right"/>
    </xf>
    <xf numFmtId="4" fontId="44" fillId="0" borderId="58" xfId="0" applyNumberFormat="1" applyFont="1" applyBorder="1" applyAlignment="1">
      <alignment horizontal="right"/>
    </xf>
    <xf numFmtId="167" fontId="44" fillId="0" borderId="47" xfId="0" applyNumberFormat="1" applyFont="1" applyBorder="1" applyAlignment="1">
      <alignment horizontal="right"/>
    </xf>
    <xf numFmtId="17" fontId="39" fillId="10" borderId="71" xfId="2" applyNumberFormat="1" applyFont="1" applyFill="1" applyBorder="1" applyAlignment="1">
      <alignment horizontal="left"/>
    </xf>
    <xf numFmtId="170" fontId="44" fillId="0" borderId="72" xfId="0" applyNumberFormat="1" applyFont="1" applyBorder="1" applyAlignment="1">
      <alignment horizontal="right"/>
    </xf>
    <xf numFmtId="4" fontId="44" fillId="0" borderId="72" xfId="0" applyNumberFormat="1" applyFont="1" applyBorder="1" applyAlignment="1">
      <alignment horizontal="right"/>
    </xf>
    <xf numFmtId="168" fontId="44" fillId="0" borderId="72" xfId="0" applyNumberFormat="1" applyFont="1" applyBorder="1" applyAlignment="1">
      <alignment horizontal="right"/>
    </xf>
    <xf numFmtId="168" fontId="44" fillId="0" borderId="73" xfId="0" applyNumberFormat="1" applyFont="1" applyBorder="1" applyAlignment="1">
      <alignment horizontal="right"/>
    </xf>
    <xf numFmtId="167" fontId="44" fillId="0" borderId="74" xfId="0" applyNumberFormat="1" applyFont="1" applyBorder="1" applyAlignment="1">
      <alignment horizontal="right"/>
    </xf>
    <xf numFmtId="168" fontId="44" fillId="0" borderId="72" xfId="0" applyNumberFormat="1" applyFont="1" applyBorder="1"/>
    <xf numFmtId="168" fontId="44" fillId="0" borderId="73" xfId="0" applyNumberFormat="1" applyFont="1" applyBorder="1"/>
    <xf numFmtId="170" fontId="44" fillId="0" borderId="68" xfId="0" applyNumberFormat="1" applyFont="1" applyBorder="1" applyAlignment="1">
      <alignment horizontal="right"/>
    </xf>
    <xf numFmtId="167" fontId="44" fillId="0" borderId="66" xfId="0" applyNumberFormat="1" applyFont="1" applyBorder="1" applyAlignment="1">
      <alignment horizontal="right"/>
    </xf>
    <xf numFmtId="165" fontId="44" fillId="0" borderId="72" xfId="0" applyNumberFormat="1" applyFont="1" applyBorder="1" applyAlignment="1">
      <alignment horizontal="right"/>
    </xf>
    <xf numFmtId="166" fontId="44" fillId="0" borderId="74" xfId="0" applyNumberFormat="1" applyFont="1" applyBorder="1" applyAlignment="1">
      <alignment horizontal="right"/>
    </xf>
    <xf numFmtId="165" fontId="44" fillId="0" borderId="72" xfId="0" applyNumberFormat="1" applyFont="1" applyBorder="1"/>
    <xf numFmtId="2" fontId="44" fillId="0" borderId="68" xfId="0" applyNumberFormat="1" applyFont="1" applyBorder="1" applyAlignment="1">
      <alignment horizontal="right"/>
    </xf>
    <xf numFmtId="2" fontId="44" fillId="0" borderId="72" xfId="0" applyNumberFormat="1" applyFont="1" applyBorder="1" applyAlignment="1">
      <alignment horizontal="right"/>
    </xf>
    <xf numFmtId="2" fontId="44" fillId="0" borderId="57" xfId="0" applyNumberFormat="1" applyFont="1" applyBorder="1" applyAlignment="1">
      <alignment horizontal="right"/>
    </xf>
    <xf numFmtId="168" fontId="44" fillId="0" borderId="75" xfId="0" applyNumberFormat="1" applyFont="1" applyBorder="1" applyAlignment="1">
      <alignment horizontal="right"/>
    </xf>
    <xf numFmtId="4" fontId="44" fillId="0" borderId="72" xfId="0" applyNumberFormat="1" applyFont="1" applyBorder="1"/>
    <xf numFmtId="4" fontId="44" fillId="0" borderId="68" xfId="0" applyNumberFormat="1" applyFont="1" applyBorder="1"/>
    <xf numFmtId="168" fontId="44" fillId="0" borderId="76" xfId="0" applyNumberFormat="1" applyFont="1" applyBorder="1" applyAlignment="1">
      <alignment horizontal="right"/>
    </xf>
    <xf numFmtId="40" fontId="44" fillId="0" borderId="72" xfId="0" applyNumberFormat="1" applyFont="1" applyBorder="1" applyAlignment="1">
      <alignment horizontal="right"/>
    </xf>
    <xf numFmtId="40" fontId="44" fillId="0" borderId="72" xfId="0" applyNumberFormat="1" applyFont="1" applyBorder="1"/>
    <xf numFmtId="2" fontId="44" fillId="0" borderId="73" xfId="0" applyNumberFormat="1" applyFont="1" applyBorder="1"/>
    <xf numFmtId="40" fontId="44" fillId="0" borderId="68" xfId="0" applyNumberFormat="1" applyFont="1" applyBorder="1" applyAlignment="1">
      <alignment horizontal="right"/>
    </xf>
    <xf numFmtId="40" fontId="44" fillId="0" borderId="68" xfId="0" applyNumberFormat="1" applyFont="1" applyBorder="1"/>
    <xf numFmtId="2" fontId="44" fillId="0" borderId="69" xfId="0" applyNumberFormat="1" applyFont="1" applyBorder="1"/>
    <xf numFmtId="17" fontId="39" fillId="10" borderId="71" xfId="2" applyNumberFormat="1" applyFont="1" applyFill="1" applyBorder="1" applyAlignment="1">
      <alignment horizontal="left" vertical="center"/>
    </xf>
    <xf numFmtId="4" fontId="44" fillId="0" borderId="72" xfId="1" applyNumberFormat="1" applyFont="1" applyBorder="1" applyAlignment="1">
      <alignment horizontal="right"/>
    </xf>
    <xf numFmtId="4" fontId="44" fillId="0" borderId="72" xfId="1" applyNumberFormat="1" applyFont="1" applyBorder="1"/>
    <xf numFmtId="4" fontId="44" fillId="0" borderId="68" xfId="1" applyNumberFormat="1" applyFont="1" applyBorder="1"/>
    <xf numFmtId="166" fontId="44" fillId="0" borderId="72" xfId="1" applyNumberFormat="1" applyFont="1" applyBorder="1" applyAlignment="1">
      <alignment horizontal="right"/>
    </xf>
    <xf numFmtId="166" fontId="44" fillId="0" borderId="72" xfId="1" applyNumberFormat="1" applyFont="1" applyBorder="1"/>
    <xf numFmtId="166" fontId="44" fillId="0" borderId="68" xfId="1" applyNumberFormat="1" applyFont="1" applyBorder="1"/>
    <xf numFmtId="17" fontId="39" fillId="10" borderId="77" xfId="2" applyNumberFormat="1" applyFont="1" applyFill="1" applyBorder="1" applyAlignment="1">
      <alignment horizontal="left"/>
    </xf>
    <xf numFmtId="4" fontId="44" fillId="0" borderId="78" xfId="0" applyNumberFormat="1" applyFont="1" applyBorder="1" applyAlignment="1">
      <alignment horizontal="right"/>
    </xf>
    <xf numFmtId="168" fontId="44" fillId="0" borderId="78" xfId="0" applyNumberFormat="1" applyFont="1" applyBorder="1" applyAlignment="1">
      <alignment horizontal="right"/>
    </xf>
    <xf numFmtId="168" fontId="44" fillId="0" borderId="78" xfId="0" applyNumberFormat="1" applyFont="1" applyBorder="1"/>
    <xf numFmtId="168" fontId="44" fillId="0" borderId="79" xfId="0" applyNumberFormat="1" applyFont="1" applyBorder="1"/>
    <xf numFmtId="170" fontId="44" fillId="0" borderId="78" xfId="0" applyNumberFormat="1" applyFont="1" applyBorder="1" applyAlignment="1">
      <alignment horizontal="right"/>
    </xf>
    <xf numFmtId="167" fontId="44" fillId="0" borderId="80" xfId="0" applyNumberFormat="1" applyFont="1" applyBorder="1" applyAlignment="1">
      <alignment horizontal="right"/>
    </xf>
    <xf numFmtId="2" fontId="44" fillId="0" borderId="78" xfId="0" applyNumberFormat="1" applyFont="1" applyBorder="1" applyAlignment="1">
      <alignment horizontal="right"/>
    </xf>
    <xf numFmtId="4" fontId="44" fillId="0" borderId="81" xfId="0" applyNumberFormat="1" applyFont="1" applyBorder="1" applyAlignment="1">
      <alignment horizontal="right"/>
    </xf>
    <xf numFmtId="4" fontId="44" fillId="0" borderId="82" xfId="0" applyNumberFormat="1" applyFont="1" applyBorder="1" applyAlignment="1">
      <alignment horizontal="right"/>
    </xf>
    <xf numFmtId="166" fontId="44" fillId="0" borderId="83" xfId="0" applyNumberFormat="1" applyFont="1" applyBorder="1" applyAlignment="1">
      <alignment horizontal="right"/>
    </xf>
    <xf numFmtId="4" fontId="44" fillId="0" borderId="84" xfId="0" applyNumberFormat="1" applyFont="1" applyBorder="1" applyAlignment="1">
      <alignment horizontal="right"/>
    </xf>
    <xf numFmtId="4" fontId="44" fillId="0" borderId="85" xfId="0" applyNumberFormat="1" applyFont="1" applyBorder="1" applyAlignment="1">
      <alignment horizontal="right"/>
    </xf>
    <xf numFmtId="166" fontId="44" fillId="0" borderId="86" xfId="0" applyNumberFormat="1" applyFont="1" applyBorder="1" applyAlignment="1">
      <alignment horizontal="right"/>
    </xf>
    <xf numFmtId="2" fontId="44" fillId="0" borderId="84" xfId="0" applyNumberFormat="1" applyFont="1" applyBorder="1"/>
    <xf numFmtId="2" fontId="44" fillId="0" borderId="85" xfId="0" applyNumberFormat="1" applyFont="1" applyBorder="1"/>
    <xf numFmtId="40" fontId="44" fillId="0" borderId="84" xfId="0" applyNumberFormat="1" applyFont="1" applyBorder="1" applyAlignment="1">
      <alignment horizontal="right"/>
    </xf>
    <xf numFmtId="40" fontId="44" fillId="0" borderId="84" xfId="0" applyNumberFormat="1" applyFont="1" applyBorder="1"/>
    <xf numFmtId="168" fontId="44" fillId="0" borderId="84" xfId="0" applyNumberFormat="1" applyFont="1" applyBorder="1" applyAlignment="1">
      <alignment horizontal="right"/>
    </xf>
    <xf numFmtId="168" fontId="44" fillId="0" borderId="84" xfId="0" applyNumberFormat="1" applyFont="1" applyBorder="1"/>
    <xf numFmtId="168" fontId="44" fillId="0" borderId="85" xfId="0" applyNumberFormat="1" applyFont="1" applyBorder="1"/>
    <xf numFmtId="17" fontId="39" fillId="10" borderId="87" xfId="2" applyNumberFormat="1" applyFont="1" applyFill="1" applyBorder="1" applyAlignment="1">
      <alignment horizontal="left"/>
    </xf>
    <xf numFmtId="2" fontId="44" fillId="0" borderId="88" xfId="0" applyNumberFormat="1" applyFont="1" applyBorder="1" applyAlignment="1">
      <alignment horizontal="right"/>
    </xf>
    <xf numFmtId="4" fontId="44" fillId="0" borderId="88" xfId="0" applyNumberFormat="1" applyFont="1" applyBorder="1" applyAlignment="1">
      <alignment horizontal="right"/>
    </xf>
    <xf numFmtId="4" fontId="44" fillId="0" borderId="89" xfId="0" applyNumberFormat="1" applyFont="1" applyBorder="1" applyAlignment="1">
      <alignment horizontal="right"/>
    </xf>
    <xf numFmtId="166" fontId="44" fillId="0" borderId="90" xfId="0" applyNumberFormat="1" applyFont="1" applyBorder="1" applyAlignment="1">
      <alignment horizontal="right"/>
    </xf>
    <xf numFmtId="17" fontId="39" fillId="10" borderId="72" xfId="2" applyNumberFormat="1" applyFont="1" applyFill="1" applyBorder="1" applyAlignment="1">
      <alignment horizontal="left"/>
    </xf>
    <xf numFmtId="2" fontId="44" fillId="0" borderId="91" xfId="0" applyNumberFormat="1" applyFont="1" applyBorder="1" applyAlignment="1">
      <alignment horizontal="right"/>
    </xf>
    <xf numFmtId="4" fontId="44" fillId="0" borderId="91" xfId="0" applyNumberFormat="1" applyFont="1" applyBorder="1" applyAlignment="1">
      <alignment horizontal="right"/>
    </xf>
    <xf numFmtId="4" fontId="44" fillId="0" borderId="73" xfId="0" applyNumberFormat="1" applyFont="1" applyBorder="1" applyAlignment="1">
      <alignment horizontal="right"/>
    </xf>
    <xf numFmtId="2" fontId="44" fillId="0" borderId="72" xfId="0" applyNumberFormat="1" applyFont="1" applyBorder="1"/>
    <xf numFmtId="165" fontId="44" fillId="0" borderId="88" xfId="0" applyNumberFormat="1" applyFont="1" applyBorder="1" applyAlignment="1">
      <alignment horizontal="right"/>
    </xf>
    <xf numFmtId="17" fontId="39" fillId="10" borderId="81" xfId="2" applyNumberFormat="1" applyFont="1" applyFill="1" applyBorder="1" applyAlignment="1">
      <alignment horizontal="left" vertical="center"/>
    </xf>
    <xf numFmtId="4" fontId="44" fillId="0" borderId="81" xfId="1" applyNumberFormat="1" applyFont="1" applyBorder="1" applyAlignment="1">
      <alignment horizontal="right"/>
    </xf>
    <xf numFmtId="17" fontId="39" fillId="10" borderId="84" xfId="2" applyNumberFormat="1" applyFont="1" applyFill="1" applyBorder="1" applyAlignment="1">
      <alignment horizontal="left" vertical="center"/>
    </xf>
    <xf numFmtId="4" fontId="44" fillId="0" borderId="84" xfId="1" applyNumberFormat="1" applyFont="1" applyBorder="1" applyAlignment="1">
      <alignment horizontal="right"/>
    </xf>
    <xf numFmtId="17" fontId="39" fillId="10" borderId="92" xfId="2" applyNumberFormat="1" applyFont="1" applyFill="1" applyBorder="1" applyAlignment="1">
      <alignment horizontal="left" vertical="center"/>
    </xf>
    <xf numFmtId="4" fontId="44" fillId="0" borderId="84" xfId="1" applyNumberFormat="1" applyFont="1" applyBorder="1"/>
    <xf numFmtId="17" fontId="39" fillId="10" borderId="92" xfId="2" applyNumberFormat="1" applyFont="1" applyFill="1" applyBorder="1" applyAlignment="1">
      <alignment horizontal="left"/>
    </xf>
    <xf numFmtId="17" fontId="39" fillId="10" borderId="93" xfId="2" applyNumberFormat="1" applyFont="1" applyFill="1" applyBorder="1" applyAlignment="1">
      <alignment horizontal="left" vertical="center"/>
    </xf>
    <xf numFmtId="4" fontId="44" fillId="0" borderId="88" xfId="1" applyNumberFormat="1" applyFont="1" applyBorder="1" applyAlignment="1">
      <alignment horizontal="right"/>
    </xf>
    <xf numFmtId="17" fontId="39" fillId="10" borderId="72" xfId="2" applyNumberFormat="1" applyFont="1" applyFill="1" applyBorder="1" applyAlignment="1">
      <alignment horizontal="left" vertical="center"/>
    </xf>
    <xf numFmtId="4" fontId="44" fillId="0" borderId="94" xfId="1" applyNumberFormat="1" applyFont="1" applyBorder="1" applyAlignment="1">
      <alignment horizontal="right"/>
    </xf>
    <xf numFmtId="4" fontId="44" fillId="0" borderId="94" xfId="0" applyNumberFormat="1" applyFont="1" applyBorder="1" applyAlignment="1">
      <alignment horizontal="right"/>
    </xf>
    <xf numFmtId="40" fontId="44" fillId="0" borderId="94" xfId="0" applyNumberFormat="1" applyFont="1" applyBorder="1" applyAlignment="1">
      <alignment horizontal="right"/>
    </xf>
    <xf numFmtId="40" fontId="44" fillId="0" borderId="94" xfId="0" applyNumberFormat="1" applyFont="1" applyBorder="1"/>
    <xf numFmtId="2" fontId="44" fillId="0" borderId="94" xfId="0" applyNumberFormat="1" applyFont="1" applyBorder="1"/>
    <xf numFmtId="17" fontId="44" fillId="0" borderId="92" xfId="0" applyNumberFormat="1" applyFont="1" applyBorder="1"/>
    <xf numFmtId="0" fontId="35" fillId="0" borderId="94" xfId="0" applyFont="1" applyBorder="1"/>
    <xf numFmtId="40" fontId="49" fillId="0" borderId="85" xfId="0" applyNumberFormat="1" applyFont="1" applyBorder="1"/>
    <xf numFmtId="40" fontId="49" fillId="0" borderId="95" xfId="0" applyNumberFormat="1" applyFont="1" applyBorder="1"/>
    <xf numFmtId="173" fontId="49" fillId="0" borderId="84" xfId="0" applyNumberFormat="1" applyFont="1" applyBorder="1"/>
    <xf numFmtId="4" fontId="44" fillId="0" borderId="91" xfId="1" applyNumberFormat="1" applyFont="1" applyBorder="1" applyAlignment="1">
      <alignment horizontal="right"/>
    </xf>
    <xf numFmtId="40" fontId="44" fillId="0" borderId="91" xfId="0" applyNumberFormat="1" applyFont="1" applyBorder="1" applyAlignment="1">
      <alignment horizontal="right"/>
    </xf>
    <xf numFmtId="40" fontId="44" fillId="0" borderId="91" xfId="0" applyNumberFormat="1" applyFont="1" applyBorder="1"/>
    <xf numFmtId="2" fontId="44" fillId="0" borderId="91" xfId="0" applyNumberFormat="1" applyFont="1" applyBorder="1"/>
    <xf numFmtId="40" fontId="49" fillId="0" borderId="73" xfId="0" applyNumberFormat="1" applyFont="1" applyBorder="1"/>
    <xf numFmtId="40" fontId="49" fillId="0" borderId="96" xfId="0" applyNumberFormat="1" applyFont="1" applyBorder="1"/>
    <xf numFmtId="173" fontId="49" fillId="0" borderId="72" xfId="0" applyNumberFormat="1" applyFont="1" applyBorder="1"/>
    <xf numFmtId="17" fontId="39" fillId="10" borderId="87" xfId="2" applyNumberFormat="1" applyFont="1" applyFill="1" applyBorder="1" applyAlignment="1">
      <alignment horizontal="left" vertical="center"/>
    </xf>
    <xf numFmtId="166" fontId="44" fillId="0" borderId="88" xfId="1" applyNumberFormat="1" applyFont="1" applyBorder="1" applyAlignment="1">
      <alignment horizontal="right"/>
    </xf>
    <xf numFmtId="166" fontId="44" fillId="0" borderId="91" xfId="1" applyNumberFormat="1" applyFont="1" applyBorder="1" applyAlignment="1">
      <alignment horizontal="right"/>
    </xf>
    <xf numFmtId="166" fontId="44" fillId="0" borderId="73" xfId="1" applyNumberFormat="1" applyFont="1" applyBorder="1" applyAlignment="1">
      <alignment horizontal="right"/>
    </xf>
    <xf numFmtId="40" fontId="44" fillId="0" borderId="97" xfId="0" applyNumberFormat="1" applyFont="1" applyBorder="1"/>
    <xf numFmtId="40" fontId="44" fillId="0" borderId="96" xfId="0" applyNumberFormat="1" applyFont="1" applyBorder="1"/>
    <xf numFmtId="173" fontId="44" fillId="0" borderId="72" xfId="0" applyNumberFormat="1" applyFont="1" applyBorder="1"/>
    <xf numFmtId="0" fontId="51" fillId="9" borderId="55" xfId="0" applyFont="1" applyFill="1" applyBorder="1" applyAlignment="1">
      <alignment horizontal="left" vertical="center"/>
    </xf>
    <xf numFmtId="17" fontId="39" fillId="10" borderId="93" xfId="2" applyNumberFormat="1" applyFont="1" applyFill="1" applyBorder="1" applyAlignment="1">
      <alignment horizontal="left"/>
    </xf>
    <xf numFmtId="17" fontId="39" fillId="10" borderId="78" xfId="2" applyNumberFormat="1" applyFont="1" applyFill="1" applyBorder="1" applyAlignment="1">
      <alignment horizontal="left"/>
    </xf>
    <xf numFmtId="17" fontId="39" fillId="10" borderId="98" xfId="2" applyNumberFormat="1" applyFont="1" applyFill="1" applyBorder="1" applyAlignment="1">
      <alignment horizontal="left"/>
    </xf>
    <xf numFmtId="4" fontId="44" fillId="0" borderId="78" xfId="0" applyNumberFormat="1" applyFont="1" applyBorder="1"/>
    <xf numFmtId="168" fontId="44" fillId="0" borderId="99" xfId="0" applyNumberFormat="1" applyFont="1" applyBorder="1" applyAlignment="1">
      <alignment horizontal="right"/>
    </xf>
    <xf numFmtId="166" fontId="44" fillId="0" borderId="80" xfId="0" applyNumberFormat="1" applyFont="1" applyBorder="1" applyAlignment="1">
      <alignment horizontal="right"/>
    </xf>
    <xf numFmtId="40" fontId="44" fillId="0" borderId="78" xfId="0" applyNumberFormat="1" applyFont="1" applyBorder="1" applyAlignment="1">
      <alignment horizontal="right"/>
    </xf>
    <xf numFmtId="40" fontId="44" fillId="0" borderId="78" xfId="0" applyNumberFormat="1" applyFont="1" applyBorder="1"/>
    <xf numFmtId="2" fontId="44" fillId="0" borderId="79" xfId="0" applyNumberFormat="1" applyFont="1" applyBorder="1"/>
    <xf numFmtId="165" fontId="44" fillId="0" borderId="78" xfId="0" applyNumberFormat="1" applyFont="1" applyBorder="1"/>
    <xf numFmtId="17" fontId="39" fillId="10" borderId="100" xfId="2" applyNumberFormat="1" applyFont="1" applyFill="1" applyBorder="1" applyAlignment="1">
      <alignment horizontal="left"/>
    </xf>
    <xf numFmtId="4" fontId="44" fillId="0" borderId="101" xfId="1" applyNumberFormat="1" applyFont="1" applyBorder="1"/>
    <xf numFmtId="4" fontId="44" fillId="0" borderId="101" xfId="0" applyNumberFormat="1" applyFont="1" applyBorder="1" applyAlignment="1">
      <alignment horizontal="right"/>
    </xf>
    <xf numFmtId="40" fontId="44" fillId="0" borderId="101" xfId="0" applyNumberFormat="1" applyFont="1" applyBorder="1" applyAlignment="1">
      <alignment horizontal="right"/>
    </xf>
    <xf numFmtId="40" fontId="44" fillId="0" borderId="101" xfId="0" applyNumberFormat="1" applyFont="1" applyBorder="1"/>
    <xf numFmtId="2" fontId="44" fillId="0" borderId="102" xfId="0" applyNumberFormat="1" applyFont="1" applyBorder="1"/>
    <xf numFmtId="166" fontId="44" fillId="0" borderId="103" xfId="0" applyNumberFormat="1" applyFont="1" applyBorder="1" applyAlignment="1">
      <alignment horizontal="right"/>
    </xf>
    <xf numFmtId="4" fontId="44" fillId="0" borderId="78" xfId="1" applyNumberFormat="1" applyFont="1" applyBorder="1"/>
    <xf numFmtId="17" fontId="39" fillId="10" borderId="78" xfId="2" applyNumberFormat="1" applyFont="1" applyFill="1" applyBorder="1" applyAlignment="1">
      <alignment horizontal="left" vertical="center"/>
    </xf>
    <xf numFmtId="17" fontId="39" fillId="10" borderId="98" xfId="2" applyNumberFormat="1" applyFont="1" applyFill="1" applyBorder="1" applyAlignment="1">
      <alignment horizontal="left" vertical="center"/>
    </xf>
    <xf numFmtId="168" fontId="44" fillId="0" borderId="101" xfId="0" applyNumberFormat="1" applyFont="1" applyBorder="1" applyAlignment="1">
      <alignment horizontal="right"/>
    </xf>
    <xf numFmtId="168" fontId="44" fillId="0" borderId="101" xfId="0" applyNumberFormat="1" applyFont="1" applyBorder="1"/>
    <xf numFmtId="168" fontId="44" fillId="0" borderId="102" xfId="0" applyNumberFormat="1" applyFont="1" applyBorder="1"/>
    <xf numFmtId="166" fontId="44" fillId="0" borderId="78" xfId="1" applyNumberFormat="1" applyFont="1" applyBorder="1"/>
    <xf numFmtId="17" fontId="58" fillId="9" borderId="53" xfId="0" applyNumberFormat="1" applyFont="1" applyFill="1" applyBorder="1"/>
    <xf numFmtId="43" fontId="50" fillId="0" borderId="0" xfId="4" applyFont="1"/>
    <xf numFmtId="43" fontId="35" fillId="0" borderId="0" xfId="4" applyFont="1"/>
    <xf numFmtId="0" fontId="52" fillId="9" borderId="51" xfId="0" applyFont="1" applyFill="1" applyBorder="1" applyAlignment="1">
      <alignment horizontal="right" vertical="center"/>
    </xf>
    <xf numFmtId="0" fontId="52" fillId="9" borderId="52" xfId="0" applyFont="1" applyFill="1" applyBorder="1" applyAlignment="1">
      <alignment horizontal="right" vertical="center"/>
    </xf>
    <xf numFmtId="174" fontId="57" fillId="9" borderId="52" xfId="0" applyNumberFormat="1" applyFont="1" applyFill="1" applyBorder="1" applyAlignment="1">
      <alignment horizontal="right" vertical="center"/>
    </xf>
    <xf numFmtId="174" fontId="57" fillId="9" borderId="53" xfId="0" applyNumberFormat="1" applyFont="1" applyFill="1" applyBorder="1" applyAlignment="1">
      <alignment horizontal="right" vertical="center"/>
    </xf>
    <xf numFmtId="0" fontId="53" fillId="0" borderId="0" xfId="0" applyFont="1" applyAlignment="1">
      <alignment horizontal="center" vertical="center" wrapText="1"/>
    </xf>
    <xf numFmtId="0" fontId="42" fillId="8" borderId="33" xfId="0" applyFont="1" applyFill="1" applyBorder="1" applyAlignment="1">
      <alignment horizontal="center" vertical="center" wrapText="1"/>
    </xf>
    <xf numFmtId="0" fontId="42" fillId="8" borderId="41" xfId="0" applyFont="1" applyFill="1" applyBorder="1" applyAlignment="1">
      <alignment horizontal="center" vertical="center"/>
    </xf>
    <xf numFmtId="0" fontId="42" fillId="8" borderId="30" xfId="0" applyFont="1" applyFill="1" applyBorder="1" applyAlignment="1">
      <alignment horizontal="center" vertical="center"/>
    </xf>
    <xf numFmtId="0" fontId="54" fillId="8" borderId="44" xfId="0" applyFont="1" applyFill="1" applyBorder="1" applyAlignment="1">
      <alignment horizontal="center" vertical="center"/>
    </xf>
    <xf numFmtId="0" fontId="54" fillId="8" borderId="42" xfId="0" applyFont="1" applyFill="1" applyBorder="1" applyAlignment="1">
      <alignment horizontal="center" vertical="center"/>
    </xf>
    <xf numFmtId="0" fontId="54" fillId="8" borderId="45" xfId="0" applyFont="1" applyFill="1" applyBorder="1" applyAlignment="1">
      <alignment horizontal="center" vertical="center"/>
    </xf>
    <xf numFmtId="0" fontId="55" fillId="9" borderId="56" xfId="0" applyFont="1" applyFill="1" applyBorder="1" applyAlignment="1">
      <alignment horizontal="center" vertical="center"/>
    </xf>
    <xf numFmtId="0" fontId="55" fillId="9" borderId="43" xfId="0" applyFont="1" applyFill="1" applyBorder="1" applyAlignment="1">
      <alignment horizontal="center" vertical="center"/>
    </xf>
    <xf numFmtId="0" fontId="56" fillId="9" borderId="43" xfId="0" quotePrefix="1" applyFont="1" applyFill="1" applyBorder="1" applyAlignment="1">
      <alignment horizontal="center" vertical="center"/>
    </xf>
    <xf numFmtId="0" fontId="56" fillId="9" borderId="59" xfId="0" quotePrefix="1" applyFont="1" applyFill="1" applyBorder="1" applyAlignment="1">
      <alignment horizontal="center" vertical="center"/>
    </xf>
    <xf numFmtId="0" fontId="42" fillId="8" borderId="36" xfId="0" applyFont="1" applyFill="1" applyBorder="1" applyAlignment="1">
      <alignment horizontal="center" vertical="center" wrapText="1"/>
    </xf>
    <xf numFmtId="0" fontId="53" fillId="0" borderId="60" xfId="0" applyFont="1" applyBorder="1" applyAlignment="1">
      <alignment horizontal="center" vertical="center" wrapText="1"/>
    </xf>
    <xf numFmtId="0" fontId="55" fillId="9" borderId="61" xfId="0" applyFont="1" applyFill="1" applyBorder="1" applyAlignment="1">
      <alignment horizontal="center" vertical="center"/>
    </xf>
    <xf numFmtId="0" fontId="55" fillId="9" borderId="62" xfId="0" applyFont="1" applyFill="1" applyBorder="1" applyAlignment="1">
      <alignment horizontal="center" vertical="center"/>
    </xf>
    <xf numFmtId="0" fontId="55" fillId="9" borderId="63" xfId="0" applyFont="1" applyFill="1" applyBorder="1" applyAlignment="1">
      <alignment horizontal="center" vertical="center"/>
    </xf>
    <xf numFmtId="0" fontId="56" fillId="9" borderId="49" xfId="0" quotePrefix="1" applyFont="1" applyFill="1" applyBorder="1" applyAlignment="1">
      <alignment horizontal="center" vertical="center"/>
    </xf>
    <xf numFmtId="0" fontId="56" fillId="9" borderId="62" xfId="0" quotePrefix="1" applyFont="1" applyFill="1" applyBorder="1" applyAlignment="1">
      <alignment horizontal="center" vertical="center"/>
    </xf>
    <xf numFmtId="0" fontId="56" fillId="9" borderId="64" xfId="0" quotePrefix="1" applyFont="1" applyFill="1" applyBorder="1" applyAlignment="1">
      <alignment horizontal="center" vertical="center"/>
    </xf>
    <xf numFmtId="0" fontId="42" fillId="8" borderId="28" xfId="0" applyFont="1" applyFill="1" applyBorder="1" applyAlignment="1">
      <alignment horizontal="center" vertical="center"/>
    </xf>
    <xf numFmtId="0" fontId="42" fillId="8" borderId="42" xfId="0" applyFont="1" applyFill="1" applyBorder="1" applyAlignment="1">
      <alignment horizontal="center" vertical="center"/>
    </xf>
    <xf numFmtId="0" fontId="42" fillId="8" borderId="45" xfId="0" applyFont="1" applyFill="1" applyBorder="1" applyAlignment="1">
      <alignment horizontal="center" vertical="center"/>
    </xf>
    <xf numFmtId="0" fontId="42" fillId="8" borderId="54" xfId="0" applyFont="1" applyFill="1" applyBorder="1" applyAlignment="1">
      <alignment horizontal="center" vertical="center" wrapText="1"/>
    </xf>
    <xf numFmtId="0" fontId="42" fillId="8" borderId="65" xfId="0" applyFont="1" applyFill="1" applyBorder="1" applyAlignment="1">
      <alignment horizontal="center" vertical="center" wrapText="1"/>
    </xf>
    <xf numFmtId="4" fontId="21" fillId="5" borderId="5" xfId="0" applyNumberFormat="1" applyFont="1" applyFill="1" applyBorder="1" applyAlignment="1">
      <alignment horizontal="center" vertical="center"/>
    </xf>
    <xf numFmtId="4" fontId="21" fillId="5" borderId="0" xfId="0" applyNumberFormat="1" applyFont="1" applyFill="1" applyAlignment="1">
      <alignment horizontal="center" vertical="center"/>
    </xf>
    <xf numFmtId="4" fontId="2" fillId="5" borderId="5" xfId="0" applyNumberFormat="1" applyFont="1" applyFill="1" applyBorder="1" applyAlignment="1">
      <alignment horizontal="center" vertical="center"/>
    </xf>
    <xf numFmtId="4" fontId="2" fillId="5" borderId="0" xfId="0" applyNumberFormat="1" applyFont="1" applyFill="1" applyAlignment="1">
      <alignment horizontal="center" vertical="center"/>
    </xf>
    <xf numFmtId="4" fontId="24" fillId="3" borderId="1" xfId="0" applyNumberFormat="1" applyFont="1" applyFill="1" applyBorder="1" applyAlignment="1">
      <alignment horizontal="center" vertical="center"/>
    </xf>
    <xf numFmtId="4" fontId="24" fillId="3" borderId="22" xfId="0" applyNumberFormat="1" applyFont="1" applyFill="1" applyBorder="1" applyAlignment="1">
      <alignment horizontal="center" vertical="center"/>
    </xf>
    <xf numFmtId="49" fontId="26" fillId="4" borderId="5" xfId="0" quotePrefix="1" applyNumberFormat="1" applyFont="1" applyFill="1" applyBorder="1" applyAlignment="1">
      <alignment horizontal="center" vertical="center" wrapText="1"/>
    </xf>
    <xf numFmtId="49" fontId="26" fillId="4" borderId="0" xfId="0" quotePrefix="1" applyNumberFormat="1" applyFont="1" applyFill="1" applyAlignment="1">
      <alignment horizontal="center" vertical="center" wrapText="1"/>
    </xf>
    <xf numFmtId="49" fontId="26" fillId="4" borderId="23" xfId="0" quotePrefix="1" applyNumberFormat="1" applyFont="1" applyFill="1" applyBorder="1" applyAlignment="1">
      <alignment horizontal="center" vertical="center" wrapText="1"/>
    </xf>
    <xf numFmtId="49" fontId="26" fillId="4" borderId="11" xfId="0" quotePrefix="1" applyNumberFormat="1" applyFont="1" applyFill="1" applyBorder="1" applyAlignment="1">
      <alignment horizontal="center" vertical="center" wrapText="1"/>
    </xf>
    <xf numFmtId="49" fontId="25" fillId="4" borderId="5" xfId="0" quotePrefix="1" applyNumberFormat="1" applyFont="1" applyFill="1" applyBorder="1" applyAlignment="1">
      <alignment horizontal="center" vertical="center" wrapText="1"/>
    </xf>
    <xf numFmtId="49" fontId="25" fillId="4" borderId="0" xfId="0" quotePrefix="1" applyNumberFormat="1" applyFont="1" applyFill="1" applyAlignment="1">
      <alignment horizontal="center" vertical="center" wrapText="1"/>
    </xf>
    <xf numFmtId="49" fontId="25" fillId="4" borderId="23" xfId="0" quotePrefix="1" applyNumberFormat="1" applyFont="1" applyFill="1" applyBorder="1" applyAlignment="1">
      <alignment horizontal="center" vertical="center" wrapText="1"/>
    </xf>
    <xf numFmtId="49" fontId="25" fillId="4" borderId="11" xfId="0" quotePrefix="1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/>
    </xf>
    <xf numFmtId="4" fontId="15" fillId="3" borderId="0" xfId="0" applyNumberFormat="1" applyFont="1" applyFill="1" applyAlignment="1">
      <alignment horizontal="center" vertical="center"/>
    </xf>
    <xf numFmtId="166" fontId="5" fillId="5" borderId="24" xfId="0" applyNumberFormat="1" applyFont="1" applyFill="1" applyBorder="1" applyAlignment="1">
      <alignment horizontal="center" vertical="center"/>
    </xf>
    <xf numFmtId="166" fontId="5" fillId="5" borderId="25" xfId="0" applyNumberFormat="1" applyFont="1" applyFill="1" applyBorder="1" applyAlignment="1">
      <alignment horizontal="center" vertical="center"/>
    </xf>
    <xf numFmtId="4" fontId="3" fillId="3" borderId="5" xfId="0" applyNumberFormat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horizontal="center" vertical="center" wrapText="1"/>
    </xf>
  </cellXfs>
  <cellStyles count="5">
    <cellStyle name="Moeda" xfId="1" builtinId="4"/>
    <cellStyle name="Normal" xfId="0" builtinId="0"/>
    <cellStyle name="Normal 3" xfId="2" xr:uid="{00000000-0005-0000-0000-000002000000}"/>
    <cellStyle name="Porcentagem" xfId="3" builtinId="5"/>
    <cellStyle name="Vírgula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99.xml"/><Relationship Id="rId21" Type="http://schemas.openxmlformats.org/officeDocument/2006/relationships/externalLink" Target="externalLinks/externalLink3.xml"/><Relationship Id="rId63" Type="http://schemas.openxmlformats.org/officeDocument/2006/relationships/externalLink" Target="externalLinks/externalLink45.xml"/><Relationship Id="rId159" Type="http://schemas.openxmlformats.org/officeDocument/2006/relationships/externalLink" Target="externalLinks/externalLink141.xml"/><Relationship Id="rId170" Type="http://schemas.openxmlformats.org/officeDocument/2006/relationships/externalLink" Target="externalLinks/externalLink152.xml"/><Relationship Id="rId226" Type="http://schemas.openxmlformats.org/officeDocument/2006/relationships/externalLink" Target="externalLinks/externalLink208.xml"/><Relationship Id="rId268" Type="http://schemas.openxmlformats.org/officeDocument/2006/relationships/externalLink" Target="externalLinks/externalLink250.xml"/><Relationship Id="rId32" Type="http://schemas.openxmlformats.org/officeDocument/2006/relationships/externalLink" Target="externalLinks/externalLink14.xml"/><Relationship Id="rId74" Type="http://schemas.openxmlformats.org/officeDocument/2006/relationships/externalLink" Target="externalLinks/externalLink56.xml"/><Relationship Id="rId128" Type="http://schemas.openxmlformats.org/officeDocument/2006/relationships/externalLink" Target="externalLinks/externalLink110.xml"/><Relationship Id="rId5" Type="http://schemas.openxmlformats.org/officeDocument/2006/relationships/worksheet" Target="worksheets/sheet5.xml"/><Relationship Id="rId181" Type="http://schemas.openxmlformats.org/officeDocument/2006/relationships/externalLink" Target="externalLinks/externalLink163.xml"/><Relationship Id="rId237" Type="http://schemas.openxmlformats.org/officeDocument/2006/relationships/externalLink" Target="externalLinks/externalLink219.xml"/><Relationship Id="rId279" Type="http://schemas.openxmlformats.org/officeDocument/2006/relationships/styles" Target="styles.xml"/><Relationship Id="rId22" Type="http://schemas.openxmlformats.org/officeDocument/2006/relationships/externalLink" Target="externalLinks/externalLink4.xml"/><Relationship Id="rId43" Type="http://schemas.openxmlformats.org/officeDocument/2006/relationships/externalLink" Target="externalLinks/externalLink25.xml"/><Relationship Id="rId64" Type="http://schemas.openxmlformats.org/officeDocument/2006/relationships/externalLink" Target="externalLinks/externalLink46.xml"/><Relationship Id="rId118" Type="http://schemas.openxmlformats.org/officeDocument/2006/relationships/externalLink" Target="externalLinks/externalLink100.xml"/><Relationship Id="rId139" Type="http://schemas.openxmlformats.org/officeDocument/2006/relationships/externalLink" Target="externalLinks/externalLink121.xml"/><Relationship Id="rId85" Type="http://schemas.openxmlformats.org/officeDocument/2006/relationships/externalLink" Target="externalLinks/externalLink67.xml"/><Relationship Id="rId150" Type="http://schemas.openxmlformats.org/officeDocument/2006/relationships/externalLink" Target="externalLinks/externalLink132.xml"/><Relationship Id="rId171" Type="http://schemas.openxmlformats.org/officeDocument/2006/relationships/externalLink" Target="externalLinks/externalLink153.xml"/><Relationship Id="rId192" Type="http://schemas.openxmlformats.org/officeDocument/2006/relationships/externalLink" Target="externalLinks/externalLink174.xml"/><Relationship Id="rId206" Type="http://schemas.openxmlformats.org/officeDocument/2006/relationships/externalLink" Target="externalLinks/externalLink188.xml"/><Relationship Id="rId227" Type="http://schemas.openxmlformats.org/officeDocument/2006/relationships/externalLink" Target="externalLinks/externalLink209.xml"/><Relationship Id="rId248" Type="http://schemas.openxmlformats.org/officeDocument/2006/relationships/externalLink" Target="externalLinks/externalLink230.xml"/><Relationship Id="rId269" Type="http://schemas.openxmlformats.org/officeDocument/2006/relationships/externalLink" Target="externalLinks/externalLink251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15.xml"/><Relationship Id="rId108" Type="http://schemas.openxmlformats.org/officeDocument/2006/relationships/externalLink" Target="externalLinks/externalLink90.xml"/><Relationship Id="rId129" Type="http://schemas.openxmlformats.org/officeDocument/2006/relationships/externalLink" Target="externalLinks/externalLink111.xml"/><Relationship Id="rId280" Type="http://schemas.openxmlformats.org/officeDocument/2006/relationships/sharedStrings" Target="sharedStrings.xml"/><Relationship Id="rId54" Type="http://schemas.openxmlformats.org/officeDocument/2006/relationships/externalLink" Target="externalLinks/externalLink36.xml"/><Relationship Id="rId75" Type="http://schemas.openxmlformats.org/officeDocument/2006/relationships/externalLink" Target="externalLinks/externalLink57.xml"/><Relationship Id="rId96" Type="http://schemas.openxmlformats.org/officeDocument/2006/relationships/externalLink" Target="externalLinks/externalLink78.xml"/><Relationship Id="rId140" Type="http://schemas.openxmlformats.org/officeDocument/2006/relationships/externalLink" Target="externalLinks/externalLink122.xml"/><Relationship Id="rId161" Type="http://schemas.openxmlformats.org/officeDocument/2006/relationships/externalLink" Target="externalLinks/externalLink143.xml"/><Relationship Id="rId182" Type="http://schemas.openxmlformats.org/officeDocument/2006/relationships/externalLink" Target="externalLinks/externalLink164.xml"/><Relationship Id="rId217" Type="http://schemas.openxmlformats.org/officeDocument/2006/relationships/externalLink" Target="externalLinks/externalLink199.xml"/><Relationship Id="rId6" Type="http://schemas.openxmlformats.org/officeDocument/2006/relationships/worksheet" Target="worksheets/sheet6.xml"/><Relationship Id="rId238" Type="http://schemas.openxmlformats.org/officeDocument/2006/relationships/externalLink" Target="externalLinks/externalLink220.xml"/><Relationship Id="rId259" Type="http://schemas.openxmlformats.org/officeDocument/2006/relationships/externalLink" Target="externalLinks/externalLink241.xml"/><Relationship Id="rId23" Type="http://schemas.openxmlformats.org/officeDocument/2006/relationships/externalLink" Target="externalLinks/externalLink5.xml"/><Relationship Id="rId119" Type="http://schemas.openxmlformats.org/officeDocument/2006/relationships/externalLink" Target="externalLinks/externalLink101.xml"/><Relationship Id="rId270" Type="http://schemas.openxmlformats.org/officeDocument/2006/relationships/externalLink" Target="externalLinks/externalLink252.xml"/><Relationship Id="rId44" Type="http://schemas.openxmlformats.org/officeDocument/2006/relationships/externalLink" Target="externalLinks/externalLink26.xml"/><Relationship Id="rId65" Type="http://schemas.openxmlformats.org/officeDocument/2006/relationships/externalLink" Target="externalLinks/externalLink47.xml"/><Relationship Id="rId86" Type="http://schemas.openxmlformats.org/officeDocument/2006/relationships/externalLink" Target="externalLinks/externalLink68.xml"/><Relationship Id="rId130" Type="http://schemas.openxmlformats.org/officeDocument/2006/relationships/externalLink" Target="externalLinks/externalLink112.xml"/><Relationship Id="rId151" Type="http://schemas.openxmlformats.org/officeDocument/2006/relationships/externalLink" Target="externalLinks/externalLink133.xml"/><Relationship Id="rId172" Type="http://schemas.openxmlformats.org/officeDocument/2006/relationships/externalLink" Target="externalLinks/externalLink154.xml"/><Relationship Id="rId193" Type="http://schemas.openxmlformats.org/officeDocument/2006/relationships/externalLink" Target="externalLinks/externalLink175.xml"/><Relationship Id="rId207" Type="http://schemas.openxmlformats.org/officeDocument/2006/relationships/externalLink" Target="externalLinks/externalLink189.xml"/><Relationship Id="rId228" Type="http://schemas.openxmlformats.org/officeDocument/2006/relationships/externalLink" Target="externalLinks/externalLink210.xml"/><Relationship Id="rId249" Type="http://schemas.openxmlformats.org/officeDocument/2006/relationships/externalLink" Target="externalLinks/externalLink231.xml"/><Relationship Id="rId13" Type="http://schemas.openxmlformats.org/officeDocument/2006/relationships/worksheet" Target="worksheets/sheet13.xml"/><Relationship Id="rId109" Type="http://schemas.openxmlformats.org/officeDocument/2006/relationships/externalLink" Target="externalLinks/externalLink91.xml"/><Relationship Id="rId260" Type="http://schemas.openxmlformats.org/officeDocument/2006/relationships/externalLink" Target="externalLinks/externalLink242.xml"/><Relationship Id="rId281" Type="http://schemas.openxmlformats.org/officeDocument/2006/relationships/calcChain" Target="calcChain.xml"/><Relationship Id="rId34" Type="http://schemas.openxmlformats.org/officeDocument/2006/relationships/externalLink" Target="externalLinks/externalLink16.xml"/><Relationship Id="rId55" Type="http://schemas.openxmlformats.org/officeDocument/2006/relationships/externalLink" Target="externalLinks/externalLink37.xml"/><Relationship Id="rId76" Type="http://schemas.openxmlformats.org/officeDocument/2006/relationships/externalLink" Target="externalLinks/externalLink58.xml"/><Relationship Id="rId97" Type="http://schemas.openxmlformats.org/officeDocument/2006/relationships/externalLink" Target="externalLinks/externalLink79.xml"/><Relationship Id="rId120" Type="http://schemas.openxmlformats.org/officeDocument/2006/relationships/externalLink" Target="externalLinks/externalLink102.xml"/><Relationship Id="rId141" Type="http://schemas.openxmlformats.org/officeDocument/2006/relationships/externalLink" Target="externalLinks/externalLink123.xml"/><Relationship Id="rId7" Type="http://schemas.openxmlformats.org/officeDocument/2006/relationships/worksheet" Target="worksheets/sheet7.xml"/><Relationship Id="rId162" Type="http://schemas.openxmlformats.org/officeDocument/2006/relationships/externalLink" Target="externalLinks/externalLink144.xml"/><Relationship Id="rId183" Type="http://schemas.openxmlformats.org/officeDocument/2006/relationships/externalLink" Target="externalLinks/externalLink165.xml"/><Relationship Id="rId218" Type="http://schemas.openxmlformats.org/officeDocument/2006/relationships/externalLink" Target="externalLinks/externalLink200.xml"/><Relationship Id="rId239" Type="http://schemas.openxmlformats.org/officeDocument/2006/relationships/externalLink" Target="externalLinks/externalLink221.xml"/><Relationship Id="rId250" Type="http://schemas.openxmlformats.org/officeDocument/2006/relationships/externalLink" Target="externalLinks/externalLink232.xml"/><Relationship Id="rId271" Type="http://schemas.openxmlformats.org/officeDocument/2006/relationships/externalLink" Target="externalLinks/externalLink253.xml"/><Relationship Id="rId24" Type="http://schemas.openxmlformats.org/officeDocument/2006/relationships/externalLink" Target="externalLinks/externalLink6.xml"/><Relationship Id="rId45" Type="http://schemas.openxmlformats.org/officeDocument/2006/relationships/externalLink" Target="externalLinks/externalLink27.xml"/><Relationship Id="rId66" Type="http://schemas.openxmlformats.org/officeDocument/2006/relationships/externalLink" Target="externalLinks/externalLink48.xml"/><Relationship Id="rId87" Type="http://schemas.openxmlformats.org/officeDocument/2006/relationships/externalLink" Target="externalLinks/externalLink69.xml"/><Relationship Id="rId110" Type="http://schemas.openxmlformats.org/officeDocument/2006/relationships/externalLink" Target="externalLinks/externalLink92.xml"/><Relationship Id="rId131" Type="http://schemas.openxmlformats.org/officeDocument/2006/relationships/externalLink" Target="externalLinks/externalLink113.xml"/><Relationship Id="rId152" Type="http://schemas.openxmlformats.org/officeDocument/2006/relationships/externalLink" Target="externalLinks/externalLink134.xml"/><Relationship Id="rId173" Type="http://schemas.openxmlformats.org/officeDocument/2006/relationships/externalLink" Target="externalLinks/externalLink155.xml"/><Relationship Id="rId194" Type="http://schemas.openxmlformats.org/officeDocument/2006/relationships/externalLink" Target="externalLinks/externalLink176.xml"/><Relationship Id="rId208" Type="http://schemas.openxmlformats.org/officeDocument/2006/relationships/externalLink" Target="externalLinks/externalLink190.xml"/><Relationship Id="rId229" Type="http://schemas.openxmlformats.org/officeDocument/2006/relationships/externalLink" Target="externalLinks/externalLink211.xml"/><Relationship Id="rId240" Type="http://schemas.openxmlformats.org/officeDocument/2006/relationships/externalLink" Target="externalLinks/externalLink222.xml"/><Relationship Id="rId261" Type="http://schemas.openxmlformats.org/officeDocument/2006/relationships/externalLink" Target="externalLinks/externalLink243.xml"/><Relationship Id="rId14" Type="http://schemas.openxmlformats.org/officeDocument/2006/relationships/worksheet" Target="worksheets/sheet14.xml"/><Relationship Id="rId35" Type="http://schemas.openxmlformats.org/officeDocument/2006/relationships/externalLink" Target="externalLinks/externalLink17.xml"/><Relationship Id="rId56" Type="http://schemas.openxmlformats.org/officeDocument/2006/relationships/externalLink" Target="externalLinks/externalLink38.xml"/><Relationship Id="rId77" Type="http://schemas.openxmlformats.org/officeDocument/2006/relationships/externalLink" Target="externalLinks/externalLink59.xml"/><Relationship Id="rId100" Type="http://schemas.openxmlformats.org/officeDocument/2006/relationships/externalLink" Target="externalLinks/externalLink82.xml"/><Relationship Id="rId8" Type="http://schemas.openxmlformats.org/officeDocument/2006/relationships/worksheet" Target="worksheets/sheet8.xml"/><Relationship Id="rId98" Type="http://schemas.openxmlformats.org/officeDocument/2006/relationships/externalLink" Target="externalLinks/externalLink80.xml"/><Relationship Id="rId121" Type="http://schemas.openxmlformats.org/officeDocument/2006/relationships/externalLink" Target="externalLinks/externalLink103.xml"/><Relationship Id="rId142" Type="http://schemas.openxmlformats.org/officeDocument/2006/relationships/externalLink" Target="externalLinks/externalLink124.xml"/><Relationship Id="rId163" Type="http://schemas.openxmlformats.org/officeDocument/2006/relationships/externalLink" Target="externalLinks/externalLink145.xml"/><Relationship Id="rId184" Type="http://schemas.openxmlformats.org/officeDocument/2006/relationships/externalLink" Target="externalLinks/externalLink166.xml"/><Relationship Id="rId219" Type="http://schemas.openxmlformats.org/officeDocument/2006/relationships/externalLink" Target="externalLinks/externalLink201.xml"/><Relationship Id="rId230" Type="http://schemas.openxmlformats.org/officeDocument/2006/relationships/externalLink" Target="externalLinks/externalLink212.xml"/><Relationship Id="rId251" Type="http://schemas.openxmlformats.org/officeDocument/2006/relationships/externalLink" Target="externalLinks/externalLink233.xml"/><Relationship Id="rId25" Type="http://schemas.openxmlformats.org/officeDocument/2006/relationships/externalLink" Target="externalLinks/externalLink7.xml"/><Relationship Id="rId46" Type="http://schemas.openxmlformats.org/officeDocument/2006/relationships/externalLink" Target="externalLinks/externalLink28.xml"/><Relationship Id="rId67" Type="http://schemas.openxmlformats.org/officeDocument/2006/relationships/externalLink" Target="externalLinks/externalLink49.xml"/><Relationship Id="rId272" Type="http://schemas.openxmlformats.org/officeDocument/2006/relationships/externalLink" Target="externalLinks/externalLink254.xml"/><Relationship Id="rId88" Type="http://schemas.openxmlformats.org/officeDocument/2006/relationships/externalLink" Target="externalLinks/externalLink70.xml"/><Relationship Id="rId111" Type="http://schemas.openxmlformats.org/officeDocument/2006/relationships/externalLink" Target="externalLinks/externalLink93.xml"/><Relationship Id="rId132" Type="http://schemas.openxmlformats.org/officeDocument/2006/relationships/externalLink" Target="externalLinks/externalLink114.xml"/><Relationship Id="rId153" Type="http://schemas.openxmlformats.org/officeDocument/2006/relationships/externalLink" Target="externalLinks/externalLink135.xml"/><Relationship Id="rId174" Type="http://schemas.openxmlformats.org/officeDocument/2006/relationships/externalLink" Target="externalLinks/externalLink156.xml"/><Relationship Id="rId195" Type="http://schemas.openxmlformats.org/officeDocument/2006/relationships/externalLink" Target="externalLinks/externalLink177.xml"/><Relationship Id="rId209" Type="http://schemas.openxmlformats.org/officeDocument/2006/relationships/externalLink" Target="externalLinks/externalLink191.xml"/><Relationship Id="rId220" Type="http://schemas.openxmlformats.org/officeDocument/2006/relationships/externalLink" Target="externalLinks/externalLink202.xml"/><Relationship Id="rId241" Type="http://schemas.openxmlformats.org/officeDocument/2006/relationships/externalLink" Target="externalLinks/externalLink223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18.xml"/><Relationship Id="rId57" Type="http://schemas.openxmlformats.org/officeDocument/2006/relationships/externalLink" Target="externalLinks/externalLink39.xml"/><Relationship Id="rId262" Type="http://schemas.openxmlformats.org/officeDocument/2006/relationships/externalLink" Target="externalLinks/externalLink244.xml"/><Relationship Id="rId78" Type="http://schemas.openxmlformats.org/officeDocument/2006/relationships/externalLink" Target="externalLinks/externalLink60.xml"/><Relationship Id="rId99" Type="http://schemas.openxmlformats.org/officeDocument/2006/relationships/externalLink" Target="externalLinks/externalLink81.xml"/><Relationship Id="rId101" Type="http://schemas.openxmlformats.org/officeDocument/2006/relationships/externalLink" Target="externalLinks/externalLink83.xml"/><Relationship Id="rId122" Type="http://schemas.openxmlformats.org/officeDocument/2006/relationships/externalLink" Target="externalLinks/externalLink104.xml"/><Relationship Id="rId143" Type="http://schemas.openxmlformats.org/officeDocument/2006/relationships/externalLink" Target="externalLinks/externalLink125.xml"/><Relationship Id="rId164" Type="http://schemas.openxmlformats.org/officeDocument/2006/relationships/externalLink" Target="externalLinks/externalLink146.xml"/><Relationship Id="rId185" Type="http://schemas.openxmlformats.org/officeDocument/2006/relationships/externalLink" Target="externalLinks/externalLink167.xml"/><Relationship Id="rId9" Type="http://schemas.openxmlformats.org/officeDocument/2006/relationships/worksheet" Target="worksheets/sheet9.xml"/><Relationship Id="rId210" Type="http://schemas.openxmlformats.org/officeDocument/2006/relationships/externalLink" Target="externalLinks/externalLink192.xml"/><Relationship Id="rId26" Type="http://schemas.openxmlformats.org/officeDocument/2006/relationships/externalLink" Target="externalLinks/externalLink8.xml"/><Relationship Id="rId231" Type="http://schemas.openxmlformats.org/officeDocument/2006/relationships/externalLink" Target="externalLinks/externalLink213.xml"/><Relationship Id="rId252" Type="http://schemas.openxmlformats.org/officeDocument/2006/relationships/externalLink" Target="externalLinks/externalLink234.xml"/><Relationship Id="rId273" Type="http://schemas.openxmlformats.org/officeDocument/2006/relationships/externalLink" Target="externalLinks/externalLink255.xml"/><Relationship Id="rId47" Type="http://schemas.openxmlformats.org/officeDocument/2006/relationships/externalLink" Target="externalLinks/externalLink29.xml"/><Relationship Id="rId68" Type="http://schemas.openxmlformats.org/officeDocument/2006/relationships/externalLink" Target="externalLinks/externalLink50.xml"/><Relationship Id="rId89" Type="http://schemas.openxmlformats.org/officeDocument/2006/relationships/externalLink" Target="externalLinks/externalLink71.xml"/><Relationship Id="rId112" Type="http://schemas.openxmlformats.org/officeDocument/2006/relationships/externalLink" Target="externalLinks/externalLink94.xml"/><Relationship Id="rId133" Type="http://schemas.openxmlformats.org/officeDocument/2006/relationships/externalLink" Target="externalLinks/externalLink115.xml"/><Relationship Id="rId154" Type="http://schemas.openxmlformats.org/officeDocument/2006/relationships/externalLink" Target="externalLinks/externalLink136.xml"/><Relationship Id="rId175" Type="http://schemas.openxmlformats.org/officeDocument/2006/relationships/externalLink" Target="externalLinks/externalLink157.xml"/><Relationship Id="rId196" Type="http://schemas.openxmlformats.org/officeDocument/2006/relationships/externalLink" Target="externalLinks/externalLink178.xml"/><Relationship Id="rId200" Type="http://schemas.openxmlformats.org/officeDocument/2006/relationships/externalLink" Target="externalLinks/externalLink182.xml"/><Relationship Id="rId16" Type="http://schemas.openxmlformats.org/officeDocument/2006/relationships/worksheet" Target="worksheets/sheet16.xml"/><Relationship Id="rId221" Type="http://schemas.openxmlformats.org/officeDocument/2006/relationships/externalLink" Target="externalLinks/externalLink203.xml"/><Relationship Id="rId242" Type="http://schemas.openxmlformats.org/officeDocument/2006/relationships/externalLink" Target="externalLinks/externalLink224.xml"/><Relationship Id="rId263" Type="http://schemas.openxmlformats.org/officeDocument/2006/relationships/externalLink" Target="externalLinks/externalLink245.xml"/><Relationship Id="rId37" Type="http://schemas.openxmlformats.org/officeDocument/2006/relationships/externalLink" Target="externalLinks/externalLink19.xml"/><Relationship Id="rId58" Type="http://schemas.openxmlformats.org/officeDocument/2006/relationships/externalLink" Target="externalLinks/externalLink40.xml"/><Relationship Id="rId79" Type="http://schemas.openxmlformats.org/officeDocument/2006/relationships/externalLink" Target="externalLinks/externalLink61.xml"/><Relationship Id="rId102" Type="http://schemas.openxmlformats.org/officeDocument/2006/relationships/externalLink" Target="externalLinks/externalLink84.xml"/><Relationship Id="rId123" Type="http://schemas.openxmlformats.org/officeDocument/2006/relationships/externalLink" Target="externalLinks/externalLink105.xml"/><Relationship Id="rId144" Type="http://schemas.openxmlformats.org/officeDocument/2006/relationships/externalLink" Target="externalLinks/externalLink126.xml"/><Relationship Id="rId90" Type="http://schemas.openxmlformats.org/officeDocument/2006/relationships/externalLink" Target="externalLinks/externalLink72.xml"/><Relationship Id="rId165" Type="http://schemas.openxmlformats.org/officeDocument/2006/relationships/externalLink" Target="externalLinks/externalLink147.xml"/><Relationship Id="rId186" Type="http://schemas.openxmlformats.org/officeDocument/2006/relationships/externalLink" Target="externalLinks/externalLink168.xml"/><Relationship Id="rId211" Type="http://schemas.openxmlformats.org/officeDocument/2006/relationships/externalLink" Target="externalLinks/externalLink193.xml"/><Relationship Id="rId232" Type="http://schemas.openxmlformats.org/officeDocument/2006/relationships/externalLink" Target="externalLinks/externalLink214.xml"/><Relationship Id="rId253" Type="http://schemas.openxmlformats.org/officeDocument/2006/relationships/externalLink" Target="externalLinks/externalLink235.xml"/><Relationship Id="rId274" Type="http://schemas.openxmlformats.org/officeDocument/2006/relationships/externalLink" Target="externalLinks/externalLink256.xml"/><Relationship Id="rId27" Type="http://schemas.openxmlformats.org/officeDocument/2006/relationships/externalLink" Target="externalLinks/externalLink9.xml"/><Relationship Id="rId48" Type="http://schemas.openxmlformats.org/officeDocument/2006/relationships/externalLink" Target="externalLinks/externalLink30.xml"/><Relationship Id="rId69" Type="http://schemas.openxmlformats.org/officeDocument/2006/relationships/externalLink" Target="externalLinks/externalLink51.xml"/><Relationship Id="rId113" Type="http://schemas.openxmlformats.org/officeDocument/2006/relationships/externalLink" Target="externalLinks/externalLink95.xml"/><Relationship Id="rId134" Type="http://schemas.openxmlformats.org/officeDocument/2006/relationships/externalLink" Target="externalLinks/externalLink116.xml"/><Relationship Id="rId80" Type="http://schemas.openxmlformats.org/officeDocument/2006/relationships/externalLink" Target="externalLinks/externalLink62.xml"/><Relationship Id="rId155" Type="http://schemas.openxmlformats.org/officeDocument/2006/relationships/externalLink" Target="externalLinks/externalLink137.xml"/><Relationship Id="rId176" Type="http://schemas.openxmlformats.org/officeDocument/2006/relationships/externalLink" Target="externalLinks/externalLink158.xml"/><Relationship Id="rId197" Type="http://schemas.openxmlformats.org/officeDocument/2006/relationships/externalLink" Target="externalLinks/externalLink179.xml"/><Relationship Id="rId201" Type="http://schemas.openxmlformats.org/officeDocument/2006/relationships/externalLink" Target="externalLinks/externalLink183.xml"/><Relationship Id="rId222" Type="http://schemas.openxmlformats.org/officeDocument/2006/relationships/externalLink" Target="externalLinks/externalLink204.xml"/><Relationship Id="rId243" Type="http://schemas.openxmlformats.org/officeDocument/2006/relationships/externalLink" Target="externalLinks/externalLink225.xml"/><Relationship Id="rId264" Type="http://schemas.openxmlformats.org/officeDocument/2006/relationships/externalLink" Target="externalLinks/externalLink246.xml"/><Relationship Id="rId17" Type="http://schemas.openxmlformats.org/officeDocument/2006/relationships/worksheet" Target="worksheets/sheet17.xml"/><Relationship Id="rId38" Type="http://schemas.openxmlformats.org/officeDocument/2006/relationships/externalLink" Target="externalLinks/externalLink20.xml"/><Relationship Id="rId59" Type="http://schemas.openxmlformats.org/officeDocument/2006/relationships/externalLink" Target="externalLinks/externalLink41.xml"/><Relationship Id="rId103" Type="http://schemas.openxmlformats.org/officeDocument/2006/relationships/externalLink" Target="externalLinks/externalLink85.xml"/><Relationship Id="rId124" Type="http://schemas.openxmlformats.org/officeDocument/2006/relationships/externalLink" Target="externalLinks/externalLink106.xml"/><Relationship Id="rId70" Type="http://schemas.openxmlformats.org/officeDocument/2006/relationships/externalLink" Target="externalLinks/externalLink52.xml"/><Relationship Id="rId91" Type="http://schemas.openxmlformats.org/officeDocument/2006/relationships/externalLink" Target="externalLinks/externalLink73.xml"/><Relationship Id="rId145" Type="http://schemas.openxmlformats.org/officeDocument/2006/relationships/externalLink" Target="externalLinks/externalLink127.xml"/><Relationship Id="rId166" Type="http://schemas.openxmlformats.org/officeDocument/2006/relationships/externalLink" Target="externalLinks/externalLink148.xml"/><Relationship Id="rId187" Type="http://schemas.openxmlformats.org/officeDocument/2006/relationships/externalLink" Target="externalLinks/externalLink169.xml"/><Relationship Id="rId1" Type="http://schemas.openxmlformats.org/officeDocument/2006/relationships/worksheet" Target="worksheets/sheet1.xml"/><Relationship Id="rId212" Type="http://schemas.openxmlformats.org/officeDocument/2006/relationships/externalLink" Target="externalLinks/externalLink194.xml"/><Relationship Id="rId233" Type="http://schemas.openxmlformats.org/officeDocument/2006/relationships/externalLink" Target="externalLinks/externalLink215.xml"/><Relationship Id="rId254" Type="http://schemas.openxmlformats.org/officeDocument/2006/relationships/externalLink" Target="externalLinks/externalLink236.xml"/><Relationship Id="rId28" Type="http://schemas.openxmlformats.org/officeDocument/2006/relationships/externalLink" Target="externalLinks/externalLink10.xml"/><Relationship Id="rId49" Type="http://schemas.openxmlformats.org/officeDocument/2006/relationships/externalLink" Target="externalLinks/externalLink31.xml"/><Relationship Id="rId114" Type="http://schemas.openxmlformats.org/officeDocument/2006/relationships/externalLink" Target="externalLinks/externalLink96.xml"/><Relationship Id="rId275" Type="http://schemas.openxmlformats.org/officeDocument/2006/relationships/externalLink" Target="externalLinks/externalLink257.xml"/><Relationship Id="rId60" Type="http://schemas.openxmlformats.org/officeDocument/2006/relationships/externalLink" Target="externalLinks/externalLink42.xml"/><Relationship Id="rId81" Type="http://schemas.openxmlformats.org/officeDocument/2006/relationships/externalLink" Target="externalLinks/externalLink63.xml"/><Relationship Id="rId135" Type="http://schemas.openxmlformats.org/officeDocument/2006/relationships/externalLink" Target="externalLinks/externalLink117.xml"/><Relationship Id="rId156" Type="http://schemas.openxmlformats.org/officeDocument/2006/relationships/externalLink" Target="externalLinks/externalLink138.xml"/><Relationship Id="rId177" Type="http://schemas.openxmlformats.org/officeDocument/2006/relationships/externalLink" Target="externalLinks/externalLink159.xml"/><Relationship Id="rId198" Type="http://schemas.openxmlformats.org/officeDocument/2006/relationships/externalLink" Target="externalLinks/externalLink180.xml"/><Relationship Id="rId202" Type="http://schemas.openxmlformats.org/officeDocument/2006/relationships/externalLink" Target="externalLinks/externalLink184.xml"/><Relationship Id="rId223" Type="http://schemas.openxmlformats.org/officeDocument/2006/relationships/externalLink" Target="externalLinks/externalLink205.xml"/><Relationship Id="rId244" Type="http://schemas.openxmlformats.org/officeDocument/2006/relationships/externalLink" Target="externalLinks/externalLink226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21.xml"/><Relationship Id="rId265" Type="http://schemas.openxmlformats.org/officeDocument/2006/relationships/externalLink" Target="externalLinks/externalLink247.xml"/><Relationship Id="rId50" Type="http://schemas.openxmlformats.org/officeDocument/2006/relationships/externalLink" Target="externalLinks/externalLink32.xml"/><Relationship Id="rId104" Type="http://schemas.openxmlformats.org/officeDocument/2006/relationships/externalLink" Target="externalLinks/externalLink86.xml"/><Relationship Id="rId125" Type="http://schemas.openxmlformats.org/officeDocument/2006/relationships/externalLink" Target="externalLinks/externalLink107.xml"/><Relationship Id="rId146" Type="http://schemas.openxmlformats.org/officeDocument/2006/relationships/externalLink" Target="externalLinks/externalLink128.xml"/><Relationship Id="rId167" Type="http://schemas.openxmlformats.org/officeDocument/2006/relationships/externalLink" Target="externalLinks/externalLink149.xml"/><Relationship Id="rId188" Type="http://schemas.openxmlformats.org/officeDocument/2006/relationships/externalLink" Target="externalLinks/externalLink170.xml"/><Relationship Id="rId71" Type="http://schemas.openxmlformats.org/officeDocument/2006/relationships/externalLink" Target="externalLinks/externalLink53.xml"/><Relationship Id="rId92" Type="http://schemas.openxmlformats.org/officeDocument/2006/relationships/externalLink" Target="externalLinks/externalLink74.xml"/><Relationship Id="rId213" Type="http://schemas.openxmlformats.org/officeDocument/2006/relationships/externalLink" Target="externalLinks/externalLink195.xml"/><Relationship Id="rId234" Type="http://schemas.openxmlformats.org/officeDocument/2006/relationships/externalLink" Target="externalLinks/externalLink216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1.xml"/><Relationship Id="rId255" Type="http://schemas.openxmlformats.org/officeDocument/2006/relationships/externalLink" Target="externalLinks/externalLink237.xml"/><Relationship Id="rId276" Type="http://schemas.openxmlformats.org/officeDocument/2006/relationships/externalLink" Target="externalLinks/externalLink258.xml"/><Relationship Id="rId40" Type="http://schemas.openxmlformats.org/officeDocument/2006/relationships/externalLink" Target="externalLinks/externalLink22.xml"/><Relationship Id="rId115" Type="http://schemas.openxmlformats.org/officeDocument/2006/relationships/externalLink" Target="externalLinks/externalLink97.xml"/><Relationship Id="rId136" Type="http://schemas.openxmlformats.org/officeDocument/2006/relationships/externalLink" Target="externalLinks/externalLink118.xml"/><Relationship Id="rId157" Type="http://schemas.openxmlformats.org/officeDocument/2006/relationships/externalLink" Target="externalLinks/externalLink139.xml"/><Relationship Id="rId178" Type="http://schemas.openxmlformats.org/officeDocument/2006/relationships/externalLink" Target="externalLinks/externalLink160.xml"/><Relationship Id="rId61" Type="http://schemas.openxmlformats.org/officeDocument/2006/relationships/externalLink" Target="externalLinks/externalLink43.xml"/><Relationship Id="rId82" Type="http://schemas.openxmlformats.org/officeDocument/2006/relationships/externalLink" Target="externalLinks/externalLink64.xml"/><Relationship Id="rId199" Type="http://schemas.openxmlformats.org/officeDocument/2006/relationships/externalLink" Target="externalLinks/externalLink181.xml"/><Relationship Id="rId203" Type="http://schemas.openxmlformats.org/officeDocument/2006/relationships/externalLink" Target="externalLinks/externalLink185.xml"/><Relationship Id="rId19" Type="http://schemas.openxmlformats.org/officeDocument/2006/relationships/externalLink" Target="externalLinks/externalLink1.xml"/><Relationship Id="rId224" Type="http://schemas.openxmlformats.org/officeDocument/2006/relationships/externalLink" Target="externalLinks/externalLink206.xml"/><Relationship Id="rId245" Type="http://schemas.openxmlformats.org/officeDocument/2006/relationships/externalLink" Target="externalLinks/externalLink227.xml"/><Relationship Id="rId266" Type="http://schemas.openxmlformats.org/officeDocument/2006/relationships/externalLink" Target="externalLinks/externalLink248.xml"/><Relationship Id="rId30" Type="http://schemas.openxmlformats.org/officeDocument/2006/relationships/externalLink" Target="externalLinks/externalLink12.xml"/><Relationship Id="rId105" Type="http://schemas.openxmlformats.org/officeDocument/2006/relationships/externalLink" Target="externalLinks/externalLink87.xml"/><Relationship Id="rId126" Type="http://schemas.openxmlformats.org/officeDocument/2006/relationships/externalLink" Target="externalLinks/externalLink108.xml"/><Relationship Id="rId147" Type="http://schemas.openxmlformats.org/officeDocument/2006/relationships/externalLink" Target="externalLinks/externalLink129.xml"/><Relationship Id="rId168" Type="http://schemas.openxmlformats.org/officeDocument/2006/relationships/externalLink" Target="externalLinks/externalLink150.xml"/><Relationship Id="rId51" Type="http://schemas.openxmlformats.org/officeDocument/2006/relationships/externalLink" Target="externalLinks/externalLink33.xml"/><Relationship Id="rId72" Type="http://schemas.openxmlformats.org/officeDocument/2006/relationships/externalLink" Target="externalLinks/externalLink54.xml"/><Relationship Id="rId93" Type="http://schemas.openxmlformats.org/officeDocument/2006/relationships/externalLink" Target="externalLinks/externalLink75.xml"/><Relationship Id="rId189" Type="http://schemas.openxmlformats.org/officeDocument/2006/relationships/externalLink" Target="externalLinks/externalLink171.xml"/><Relationship Id="rId3" Type="http://schemas.openxmlformats.org/officeDocument/2006/relationships/worksheet" Target="worksheets/sheet3.xml"/><Relationship Id="rId214" Type="http://schemas.openxmlformats.org/officeDocument/2006/relationships/externalLink" Target="externalLinks/externalLink196.xml"/><Relationship Id="rId235" Type="http://schemas.openxmlformats.org/officeDocument/2006/relationships/externalLink" Target="externalLinks/externalLink217.xml"/><Relationship Id="rId256" Type="http://schemas.openxmlformats.org/officeDocument/2006/relationships/externalLink" Target="externalLinks/externalLink238.xml"/><Relationship Id="rId277" Type="http://schemas.openxmlformats.org/officeDocument/2006/relationships/externalLink" Target="externalLinks/externalLink259.xml"/><Relationship Id="rId116" Type="http://schemas.openxmlformats.org/officeDocument/2006/relationships/externalLink" Target="externalLinks/externalLink98.xml"/><Relationship Id="rId137" Type="http://schemas.openxmlformats.org/officeDocument/2006/relationships/externalLink" Target="externalLinks/externalLink119.xml"/><Relationship Id="rId158" Type="http://schemas.openxmlformats.org/officeDocument/2006/relationships/externalLink" Target="externalLinks/externalLink140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62" Type="http://schemas.openxmlformats.org/officeDocument/2006/relationships/externalLink" Target="externalLinks/externalLink44.xml"/><Relationship Id="rId83" Type="http://schemas.openxmlformats.org/officeDocument/2006/relationships/externalLink" Target="externalLinks/externalLink65.xml"/><Relationship Id="rId179" Type="http://schemas.openxmlformats.org/officeDocument/2006/relationships/externalLink" Target="externalLinks/externalLink161.xml"/><Relationship Id="rId190" Type="http://schemas.openxmlformats.org/officeDocument/2006/relationships/externalLink" Target="externalLinks/externalLink172.xml"/><Relationship Id="rId204" Type="http://schemas.openxmlformats.org/officeDocument/2006/relationships/externalLink" Target="externalLinks/externalLink186.xml"/><Relationship Id="rId225" Type="http://schemas.openxmlformats.org/officeDocument/2006/relationships/externalLink" Target="externalLinks/externalLink207.xml"/><Relationship Id="rId246" Type="http://schemas.openxmlformats.org/officeDocument/2006/relationships/externalLink" Target="externalLinks/externalLink228.xml"/><Relationship Id="rId267" Type="http://schemas.openxmlformats.org/officeDocument/2006/relationships/externalLink" Target="externalLinks/externalLink249.xml"/><Relationship Id="rId106" Type="http://schemas.openxmlformats.org/officeDocument/2006/relationships/externalLink" Target="externalLinks/externalLink88.xml"/><Relationship Id="rId127" Type="http://schemas.openxmlformats.org/officeDocument/2006/relationships/externalLink" Target="externalLinks/externalLink109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3.xml"/><Relationship Id="rId52" Type="http://schemas.openxmlformats.org/officeDocument/2006/relationships/externalLink" Target="externalLinks/externalLink34.xml"/><Relationship Id="rId73" Type="http://schemas.openxmlformats.org/officeDocument/2006/relationships/externalLink" Target="externalLinks/externalLink55.xml"/><Relationship Id="rId94" Type="http://schemas.openxmlformats.org/officeDocument/2006/relationships/externalLink" Target="externalLinks/externalLink76.xml"/><Relationship Id="rId148" Type="http://schemas.openxmlformats.org/officeDocument/2006/relationships/externalLink" Target="externalLinks/externalLink130.xml"/><Relationship Id="rId169" Type="http://schemas.openxmlformats.org/officeDocument/2006/relationships/externalLink" Target="externalLinks/externalLink151.xml"/><Relationship Id="rId4" Type="http://schemas.openxmlformats.org/officeDocument/2006/relationships/worksheet" Target="worksheets/sheet4.xml"/><Relationship Id="rId180" Type="http://schemas.openxmlformats.org/officeDocument/2006/relationships/externalLink" Target="externalLinks/externalLink162.xml"/><Relationship Id="rId215" Type="http://schemas.openxmlformats.org/officeDocument/2006/relationships/externalLink" Target="externalLinks/externalLink197.xml"/><Relationship Id="rId236" Type="http://schemas.openxmlformats.org/officeDocument/2006/relationships/externalLink" Target="externalLinks/externalLink218.xml"/><Relationship Id="rId257" Type="http://schemas.openxmlformats.org/officeDocument/2006/relationships/externalLink" Target="externalLinks/externalLink239.xml"/><Relationship Id="rId278" Type="http://schemas.openxmlformats.org/officeDocument/2006/relationships/theme" Target="theme/theme1.xml"/><Relationship Id="rId42" Type="http://schemas.openxmlformats.org/officeDocument/2006/relationships/externalLink" Target="externalLinks/externalLink24.xml"/><Relationship Id="rId84" Type="http://schemas.openxmlformats.org/officeDocument/2006/relationships/externalLink" Target="externalLinks/externalLink66.xml"/><Relationship Id="rId138" Type="http://schemas.openxmlformats.org/officeDocument/2006/relationships/externalLink" Target="externalLinks/externalLink120.xml"/><Relationship Id="rId191" Type="http://schemas.openxmlformats.org/officeDocument/2006/relationships/externalLink" Target="externalLinks/externalLink173.xml"/><Relationship Id="rId205" Type="http://schemas.openxmlformats.org/officeDocument/2006/relationships/externalLink" Target="externalLinks/externalLink187.xml"/><Relationship Id="rId247" Type="http://schemas.openxmlformats.org/officeDocument/2006/relationships/externalLink" Target="externalLinks/externalLink229.xml"/><Relationship Id="rId107" Type="http://schemas.openxmlformats.org/officeDocument/2006/relationships/externalLink" Target="externalLinks/externalLink89.xml"/><Relationship Id="rId11" Type="http://schemas.openxmlformats.org/officeDocument/2006/relationships/worksheet" Target="worksheets/sheet11.xml"/><Relationship Id="rId53" Type="http://schemas.openxmlformats.org/officeDocument/2006/relationships/externalLink" Target="externalLinks/externalLink35.xml"/><Relationship Id="rId149" Type="http://schemas.openxmlformats.org/officeDocument/2006/relationships/externalLink" Target="externalLinks/externalLink131.xml"/><Relationship Id="rId95" Type="http://schemas.openxmlformats.org/officeDocument/2006/relationships/externalLink" Target="externalLinks/externalLink77.xml"/><Relationship Id="rId160" Type="http://schemas.openxmlformats.org/officeDocument/2006/relationships/externalLink" Target="externalLinks/externalLink142.xml"/><Relationship Id="rId216" Type="http://schemas.openxmlformats.org/officeDocument/2006/relationships/externalLink" Target="externalLinks/externalLink198.xml"/><Relationship Id="rId258" Type="http://schemas.openxmlformats.org/officeDocument/2006/relationships/externalLink" Target="externalLinks/externalLink24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1" u="none" strike="noStrike" baseline="0">
                <a:solidFill>
                  <a:srgbClr val="333399"/>
                </a:solidFill>
                <a:latin typeface="Calibri Light"/>
                <a:ea typeface="Calibri Light"/>
                <a:cs typeface="Calibri Light"/>
              </a:defRPr>
            </a:pPr>
            <a:r>
              <a:rPr lang="pt-BR"/>
              <a:t>EVOLUÇÃO DO PREÇO DO DIESEL - S10 NO S ÚLTIMOS  12 MESES (EM REAIS)</a:t>
            </a:r>
          </a:p>
        </c:rich>
      </c:tx>
      <c:layout>
        <c:manualLayout>
          <c:xMode val="edge"/>
          <c:yMode val="edge"/>
          <c:x val="0.14851461214407025"/>
          <c:y val="5.73438320209973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240834369388038"/>
          <c:y val="0.23124261579978558"/>
          <c:w val="0.84287641910373856"/>
          <c:h val="0.50417368214192204"/>
        </c:manualLayout>
      </c:layout>
      <c:lineChart>
        <c:grouping val="standard"/>
        <c:varyColors val="1"/>
        <c:ser>
          <c:idx val="0"/>
          <c:order val="0"/>
          <c:tx>
            <c:strRef>
              <c:f>Diesel_S10!$A$96:$A$108</c:f>
              <c:strCache>
                <c:ptCount val="13"/>
                <c:pt idx="0">
                  <c:v>JULHO|19</c:v>
                </c:pt>
                <c:pt idx="1">
                  <c:v>AGOSTO|19</c:v>
                </c:pt>
                <c:pt idx="2">
                  <c:v>SETEMBRO|19</c:v>
                </c:pt>
                <c:pt idx="3">
                  <c:v>OUTUBRO|19</c:v>
                </c:pt>
                <c:pt idx="4">
                  <c:v>NOVEMBRO|19</c:v>
                </c:pt>
                <c:pt idx="5">
                  <c:v>DEZEMBRO|19</c:v>
                </c:pt>
                <c:pt idx="6">
                  <c:v>JANEIRO|20</c:v>
                </c:pt>
                <c:pt idx="7">
                  <c:v>FEVEREIRO|20</c:v>
                </c:pt>
                <c:pt idx="8">
                  <c:v>MARÇO|20</c:v>
                </c:pt>
                <c:pt idx="9">
                  <c:v>ABRIL|20</c:v>
                </c:pt>
                <c:pt idx="10">
                  <c:v>MAIO|20</c:v>
                </c:pt>
                <c:pt idx="11">
                  <c:v>JUNHO|20</c:v>
                </c:pt>
                <c:pt idx="12">
                  <c:v>JULHO|20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diamond"/>
            <c:size val="7"/>
            <c:spPr>
              <a:solidFill>
                <a:srgbClr val="FFFF00"/>
              </a:solidFill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DE19-4CD4-8662-3A6239D2462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DE19-4CD4-8662-3A6239D2462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DE19-4CD4-8662-3A6239D2462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DE19-4CD4-8662-3A6239D2462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DE19-4CD4-8662-3A6239D2462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DE19-4CD4-8662-3A6239D2462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DE19-4CD4-8662-3A6239D2462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DE19-4CD4-8662-3A6239D2462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DE19-4CD4-8662-3A6239D2462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3-DE19-4CD4-8662-3A6239D2462C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5-DE19-4CD4-8662-3A6239D2462C}"/>
              </c:ext>
            </c:extLst>
          </c:dPt>
          <c:dPt>
            <c:idx val="11"/>
            <c:marker>
              <c:spPr>
                <a:solidFill>
                  <a:srgbClr val="FFFF00"/>
                </a:solidFill>
                <a:ln>
                  <a:solidFill>
                    <a:schemeClr val="tx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E19-4CD4-8662-3A6239D2462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9-DE19-4CD4-8662-3A6239D2462C}"/>
              </c:ext>
            </c:extLst>
          </c:dPt>
          <c:dLbls>
            <c:dLbl>
              <c:idx val="0"/>
              <c:layout>
                <c:manualLayout>
                  <c:x val="-4.3064511672882992E-2"/>
                  <c:y val="-3.5996599016672209E-2"/>
                </c:manualLayout>
              </c:layout>
              <c:spPr>
                <a:ln>
                  <a:noFill/>
                </a:ln>
              </c:spPr>
              <c:txPr>
                <a:bodyPr rot="-180000" vert="horz"/>
                <a:lstStyle/>
                <a:p>
                  <a:pPr algn="ctr">
                    <a:defRPr sz="1050" b="1" i="1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19-4CD4-8662-3A6239D2462C}"/>
                </c:ext>
              </c:extLst>
            </c:dLbl>
            <c:dLbl>
              <c:idx val="1"/>
              <c:layout>
                <c:manualLayout>
                  <c:x val="-5.8580835290325553E-2"/>
                  <c:y val="4.1267531699382645E-2"/>
                </c:manualLayout>
              </c:layout>
              <c:spPr>
                <a:ln>
                  <a:noFill/>
                </a:ln>
              </c:spPr>
              <c:txPr>
                <a:bodyPr rot="-180000" vert="horz"/>
                <a:lstStyle/>
                <a:p>
                  <a:pPr algn="ctr">
                    <a:defRPr sz="1050" b="1" i="1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19-4CD4-8662-3A6239D2462C}"/>
                </c:ext>
              </c:extLst>
            </c:dLbl>
            <c:dLbl>
              <c:idx val="2"/>
              <c:layout>
                <c:manualLayout>
                  <c:x val="-4.9242528894414515E-2"/>
                  <c:y val="-3.9742708217810799E-2"/>
                </c:manualLayout>
              </c:layout>
              <c:spPr>
                <a:ln>
                  <a:noFill/>
                </a:ln>
              </c:spPr>
              <c:txPr>
                <a:bodyPr rot="-180000" vert="horz"/>
                <a:lstStyle/>
                <a:p>
                  <a:pPr algn="ctr">
                    <a:defRPr sz="1050" b="1" i="1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19-4CD4-8662-3A6239D2462C}"/>
                </c:ext>
              </c:extLst>
            </c:dLbl>
            <c:dLbl>
              <c:idx val="3"/>
              <c:layout>
                <c:manualLayout>
                  <c:x val="-4.4284201316940643E-2"/>
                  <c:y val="3.713459761191823E-2"/>
                </c:manualLayout>
              </c:layout>
              <c:spPr>
                <a:ln>
                  <a:noFill/>
                </a:ln>
              </c:spPr>
              <c:txPr>
                <a:bodyPr rot="-180000" vert="horz"/>
                <a:lstStyle/>
                <a:p>
                  <a:pPr algn="ctr">
                    <a:defRPr sz="1050" b="1" i="1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19-4CD4-8662-3A6239D2462C}"/>
                </c:ext>
              </c:extLst>
            </c:dLbl>
            <c:dLbl>
              <c:idx val="4"/>
              <c:layout>
                <c:manualLayout>
                  <c:x val="-5.2858866325919789E-2"/>
                  <c:y val="-3.7479723485268568E-2"/>
                </c:manualLayout>
              </c:layout>
              <c:spPr>
                <a:ln>
                  <a:noFill/>
                </a:ln>
              </c:spPr>
              <c:txPr>
                <a:bodyPr rot="-180000" vert="horz"/>
                <a:lstStyle/>
                <a:p>
                  <a:pPr algn="ctr">
                    <a:defRPr sz="1050" b="1" i="1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19-4CD4-8662-3A6239D2462C}"/>
                </c:ext>
              </c:extLst>
            </c:dLbl>
            <c:dLbl>
              <c:idx val="5"/>
              <c:layout>
                <c:manualLayout>
                  <c:x val="-2.3124925173826957E-2"/>
                  <c:y val="1.4332926694022334E-2"/>
                </c:manualLayout>
              </c:layout>
              <c:spPr>
                <a:ln>
                  <a:noFill/>
                </a:ln>
              </c:spPr>
              <c:txPr>
                <a:bodyPr rot="-180000" vert="horz"/>
                <a:lstStyle/>
                <a:p>
                  <a:pPr algn="ctr">
                    <a:defRPr sz="1050" b="1" i="1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E19-4CD4-8662-3A6239D2462C}"/>
                </c:ext>
              </c:extLst>
            </c:dLbl>
            <c:dLbl>
              <c:idx val="6"/>
              <c:layout>
                <c:manualLayout>
                  <c:x val="-5.0349588654359382E-3"/>
                  <c:y val="1.3382425788325755E-2"/>
                </c:manualLayout>
              </c:layout>
              <c:spPr>
                <a:ln>
                  <a:noFill/>
                </a:ln>
              </c:spPr>
              <c:txPr>
                <a:bodyPr rot="-180000" vert="horz"/>
                <a:lstStyle/>
                <a:p>
                  <a:pPr algn="ctr">
                    <a:defRPr sz="1050" b="1" i="1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19-4CD4-8662-3A6239D2462C}"/>
                </c:ext>
              </c:extLst>
            </c:dLbl>
            <c:dLbl>
              <c:idx val="7"/>
              <c:layout>
                <c:manualLayout>
                  <c:x val="-4.9525625086337892E-2"/>
                  <c:y val="-3.8337954234593914E-2"/>
                </c:manualLayout>
              </c:layout>
              <c:spPr>
                <a:ln>
                  <a:noFill/>
                </a:ln>
              </c:spPr>
              <c:txPr>
                <a:bodyPr rot="-180000" vert="horz"/>
                <a:lstStyle/>
                <a:p>
                  <a:pPr algn="ctr">
                    <a:defRPr sz="1050" b="1" i="1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19-4CD4-8662-3A6239D2462C}"/>
                </c:ext>
              </c:extLst>
            </c:dLbl>
            <c:dLbl>
              <c:idx val="8"/>
              <c:layout>
                <c:manualLayout>
                  <c:x val="-2.7317401114334391E-2"/>
                  <c:y val="6.3921925252301212E-2"/>
                </c:manualLayout>
              </c:layout>
              <c:spPr>
                <a:ln>
                  <a:noFill/>
                </a:ln>
              </c:spPr>
              <c:txPr>
                <a:bodyPr rot="-180000" vert="horz"/>
                <a:lstStyle/>
                <a:p>
                  <a:pPr algn="ctr">
                    <a:defRPr sz="1050" b="1" i="1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E19-4CD4-8662-3A6239D2462C}"/>
                </c:ext>
              </c:extLst>
            </c:dLbl>
            <c:dLbl>
              <c:idx val="9"/>
              <c:layout>
                <c:manualLayout>
                  <c:x val="-4.0760636145778219E-2"/>
                  <c:y val="-5.5664881889763783E-2"/>
                </c:manualLayout>
              </c:layout>
              <c:spPr>
                <a:ln>
                  <a:noFill/>
                </a:ln>
              </c:spPr>
              <c:txPr>
                <a:bodyPr rot="-180000" vert="horz"/>
                <a:lstStyle/>
                <a:p>
                  <a:pPr algn="ctr">
                    <a:defRPr sz="1050" b="1" i="1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E19-4CD4-8662-3A6239D2462C}"/>
                </c:ext>
              </c:extLst>
            </c:dLbl>
            <c:dLbl>
              <c:idx val="10"/>
              <c:layout>
                <c:manualLayout>
                  <c:x val="-4.8360639130634986E-2"/>
                  <c:y val="4.1586928394514069E-2"/>
                </c:manualLayout>
              </c:layout>
              <c:spPr>
                <a:ln>
                  <a:noFill/>
                </a:ln>
              </c:spPr>
              <c:txPr>
                <a:bodyPr rot="-180000" vert="horz"/>
                <a:lstStyle/>
                <a:p>
                  <a:pPr algn="ctr">
                    <a:defRPr sz="1050" b="1" i="1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E19-4CD4-8662-3A6239D2462C}"/>
                </c:ext>
              </c:extLst>
            </c:dLbl>
            <c:dLbl>
              <c:idx val="11"/>
              <c:layout>
                <c:manualLayout>
                  <c:x val="-5.0117419533084677E-2"/>
                  <c:y val="-5.210927507301024E-2"/>
                </c:manualLayout>
              </c:layout>
              <c:spPr>
                <a:ln>
                  <a:noFill/>
                </a:ln>
              </c:spPr>
              <c:txPr>
                <a:bodyPr rot="-180000" vert="horz"/>
                <a:lstStyle/>
                <a:p>
                  <a:pPr algn="ctr">
                    <a:defRPr sz="1050" b="1" i="1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E19-4CD4-8662-3A6239D2462C}"/>
                </c:ext>
              </c:extLst>
            </c:dLbl>
            <c:dLbl>
              <c:idx val="12"/>
              <c:layout>
                <c:manualLayout>
                  <c:x val="-3.3743150527236726E-2"/>
                  <c:y val="3.3874976895493694E-2"/>
                </c:manualLayout>
              </c:layout>
              <c:spPr>
                <a:ln>
                  <a:noFill/>
                </a:ln>
              </c:spPr>
              <c:txPr>
                <a:bodyPr rot="-180000" vert="horz"/>
                <a:lstStyle/>
                <a:p>
                  <a:pPr algn="ctr">
                    <a:defRPr sz="1050" b="1" i="1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E19-4CD4-8662-3A6239D2462C}"/>
                </c:ext>
              </c:extLst>
            </c:dLbl>
            <c:spPr>
              <a:ln>
                <a:noFill/>
              </a:ln>
            </c:spPr>
            <c:txPr>
              <a:bodyPr rot="-180000" vert="horz" wrap="square" lIns="38100" tIns="19050" rIns="38100" bIns="19050" anchor="ctr">
                <a:spAutoFit/>
              </a:bodyPr>
              <a:lstStyle/>
              <a:p>
                <a:pPr algn="ctr">
                  <a:defRPr sz="1050" b="1" i="1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22225" cmpd="sng"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cat>
            <c:strRef>
              <c:f>Diesel_S10!$A$96:$A$108</c:f>
              <c:strCache>
                <c:ptCount val="13"/>
                <c:pt idx="0">
                  <c:v>JULHO|19</c:v>
                </c:pt>
                <c:pt idx="1">
                  <c:v>AGOSTO|19</c:v>
                </c:pt>
                <c:pt idx="2">
                  <c:v>SETEMBRO|19</c:v>
                </c:pt>
                <c:pt idx="3">
                  <c:v>OUTUBRO|19</c:v>
                </c:pt>
                <c:pt idx="4">
                  <c:v>NOVEMBRO|19</c:v>
                </c:pt>
                <c:pt idx="5">
                  <c:v>DEZEMBRO|19</c:v>
                </c:pt>
                <c:pt idx="6">
                  <c:v>JANEIRO|20</c:v>
                </c:pt>
                <c:pt idx="7">
                  <c:v>FEVEREIRO|20</c:v>
                </c:pt>
                <c:pt idx="8">
                  <c:v>MARÇO|20</c:v>
                </c:pt>
                <c:pt idx="9">
                  <c:v>ABRIL|20</c:v>
                </c:pt>
                <c:pt idx="10">
                  <c:v>MAIO|20</c:v>
                </c:pt>
                <c:pt idx="11">
                  <c:v>JUNHO|20</c:v>
                </c:pt>
                <c:pt idx="12">
                  <c:v>JULHO|20</c:v>
                </c:pt>
              </c:strCache>
            </c:strRef>
          </c:cat>
          <c:val>
            <c:numRef>
              <c:f>Diesel_S10!$B$96:$B$108</c:f>
              <c:numCache>
                <c:formatCode>0.000</c:formatCode>
                <c:ptCount val="13"/>
                <c:pt idx="0">
                  <c:v>3.6230000000000007</c:v>
                </c:pt>
                <c:pt idx="1">
                  <c:v>3.6090000000000009</c:v>
                </c:pt>
                <c:pt idx="2">
                  <c:v>3.7489999999999997</c:v>
                </c:pt>
                <c:pt idx="3">
                  <c:v>3.7850000000000001</c:v>
                </c:pt>
                <c:pt idx="4">
                  <c:v>3.7850000000000001</c:v>
                </c:pt>
                <c:pt idx="5">
                  <c:v>3.8219999999999996</c:v>
                </c:pt>
                <c:pt idx="6">
                  <c:v>3.8660000000000001</c:v>
                </c:pt>
                <c:pt idx="7">
                  <c:v>3.762999999999999</c:v>
                </c:pt>
                <c:pt idx="8">
                  <c:v>3.59</c:v>
                </c:pt>
                <c:pt idx="9">
                  <c:v>3.301000000000001</c:v>
                </c:pt>
                <c:pt idx="10">
                  <c:v>3.1059999999999994</c:v>
                </c:pt>
                <c:pt idx="11">
                  <c:v>3.23</c:v>
                </c:pt>
                <c:pt idx="12">
                  <c:v>3.4039999999999999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DE19-4CD4-8662-3A6239D24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150"/>
          <c:upBars/>
          <c:downBars/>
        </c:upDownBars>
        <c:marker val="1"/>
        <c:smooth val="0"/>
        <c:axId val="391843816"/>
        <c:axId val="1"/>
      </c:lineChart>
      <c:catAx>
        <c:axId val="391843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FFFFFF"/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pt-BR"/>
                  <a:t>PERÍODO</a:t>
                </a:r>
              </a:p>
            </c:rich>
          </c:tx>
          <c:layout>
            <c:manualLayout>
              <c:xMode val="edge"/>
              <c:yMode val="edge"/>
              <c:x val="0.47371719711506649"/>
              <c:y val="0.90938005988688042"/>
            </c:manualLayout>
          </c:layout>
          <c:overlay val="0"/>
        </c:title>
        <c:numFmt formatCode="mmm\-yy" sourceLinked="0"/>
        <c:majorTickMark val="out"/>
        <c:minorTickMark val="none"/>
        <c:tickLblPos val="nextTo"/>
        <c:txPr>
          <a:bodyPr rot="-318000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9CC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R$/Litro</a:t>
                </a:r>
              </a:p>
            </c:rich>
          </c:tx>
          <c:layout>
            <c:manualLayout>
              <c:xMode val="edge"/>
              <c:yMode val="edge"/>
              <c:x val="1.5573347449215906E-3"/>
              <c:y val="0.38769405936933937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91843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19050" cap="sq">
      <a:solidFill>
        <a:sysClr val="windowText" lastClr="000000"/>
      </a:solidFill>
      <a:miter lim="800000"/>
    </a:ln>
    <a:effectLst>
      <a:glow rad="139700">
        <a:schemeClr val="accent1">
          <a:satMod val="175000"/>
          <a:alpha val="40000"/>
        </a:schemeClr>
      </a:glo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 horizontalDpi="-3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132190</xdr:colOff>
      <xdr:row>1</xdr:row>
      <xdr:rowOff>105780</xdr:rowOff>
    </xdr:from>
    <xdr:to>
      <xdr:col>1</xdr:col>
      <xdr:colOff>2767827</xdr:colOff>
      <xdr:row>2</xdr:row>
      <xdr:rowOff>493530</xdr:rowOff>
    </xdr:to>
    <xdr:pic>
      <xdr:nvPicPr>
        <xdr:cNvPr id="298157" name="Picture 20">
          <a:extLst>
            <a:ext uri="{FF2B5EF4-FFF2-40B4-BE49-F238E27FC236}">
              <a16:creationId xmlns:a16="http://schemas.microsoft.com/office/drawing/2014/main" id="{00000000-0008-0000-0000-0000AD8C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6503" y="272468"/>
          <a:ext cx="2635637" cy="86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23962</xdr:colOff>
      <xdr:row>0</xdr:row>
      <xdr:rowOff>25920</xdr:rowOff>
    </xdr:from>
    <xdr:to>
      <xdr:col>1</xdr:col>
      <xdr:colOff>786866</xdr:colOff>
      <xdr:row>2</xdr:row>
      <xdr:rowOff>140895</xdr:rowOff>
    </xdr:to>
    <xdr:pic>
      <xdr:nvPicPr>
        <xdr:cNvPr id="11611" name="Picture 20">
          <a:extLst>
            <a:ext uri="{FF2B5EF4-FFF2-40B4-BE49-F238E27FC236}">
              <a16:creationId xmlns:a16="http://schemas.microsoft.com/office/drawing/2014/main" id="{00000000-0008-0000-0900-00005B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3962" y="25920"/>
          <a:ext cx="1658254" cy="54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24251</xdr:colOff>
      <xdr:row>0</xdr:row>
      <xdr:rowOff>25920</xdr:rowOff>
    </xdr:from>
    <xdr:to>
      <xdr:col>1</xdr:col>
      <xdr:colOff>739530</xdr:colOff>
      <xdr:row>2</xdr:row>
      <xdr:rowOff>140895</xdr:rowOff>
    </xdr:to>
    <xdr:pic>
      <xdr:nvPicPr>
        <xdr:cNvPr id="12635" name="Picture 20">
          <a:extLst>
            <a:ext uri="{FF2B5EF4-FFF2-40B4-BE49-F238E27FC236}">
              <a16:creationId xmlns:a16="http://schemas.microsoft.com/office/drawing/2014/main" id="{00000000-0008-0000-0A00-00005B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4251" y="25920"/>
          <a:ext cx="1658254" cy="54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4912</xdr:colOff>
      <xdr:row>0</xdr:row>
      <xdr:rowOff>25920</xdr:rowOff>
    </xdr:from>
    <xdr:to>
      <xdr:col>1</xdr:col>
      <xdr:colOff>748766</xdr:colOff>
      <xdr:row>2</xdr:row>
      <xdr:rowOff>140895</xdr:rowOff>
    </xdr:to>
    <xdr:pic>
      <xdr:nvPicPr>
        <xdr:cNvPr id="13659" name="Picture 20">
          <a:extLst>
            <a:ext uri="{FF2B5EF4-FFF2-40B4-BE49-F238E27FC236}">
              <a16:creationId xmlns:a16="http://schemas.microsoft.com/office/drawing/2014/main" id="{00000000-0008-0000-0B00-00005B3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912" y="25920"/>
          <a:ext cx="1658254" cy="54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4912</xdr:colOff>
      <xdr:row>0</xdr:row>
      <xdr:rowOff>16396</xdr:rowOff>
    </xdr:from>
    <xdr:to>
      <xdr:col>1</xdr:col>
      <xdr:colOff>663041</xdr:colOff>
      <xdr:row>2</xdr:row>
      <xdr:rowOff>131371</xdr:rowOff>
    </xdr:to>
    <xdr:pic>
      <xdr:nvPicPr>
        <xdr:cNvPr id="14683" name="Picture 20">
          <a:extLst>
            <a:ext uri="{FF2B5EF4-FFF2-40B4-BE49-F238E27FC236}">
              <a16:creationId xmlns:a16="http://schemas.microsoft.com/office/drawing/2014/main" id="{00000000-0008-0000-0C00-00005B3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912" y="16396"/>
          <a:ext cx="1658254" cy="54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14437</xdr:colOff>
      <xdr:row>0</xdr:row>
      <xdr:rowOff>16396</xdr:rowOff>
    </xdr:from>
    <xdr:to>
      <xdr:col>1</xdr:col>
      <xdr:colOff>777341</xdr:colOff>
      <xdr:row>2</xdr:row>
      <xdr:rowOff>131371</xdr:rowOff>
    </xdr:to>
    <xdr:pic>
      <xdr:nvPicPr>
        <xdr:cNvPr id="15707" name="Picture 20">
          <a:extLst>
            <a:ext uri="{FF2B5EF4-FFF2-40B4-BE49-F238E27FC236}">
              <a16:creationId xmlns:a16="http://schemas.microsoft.com/office/drawing/2014/main" id="{00000000-0008-0000-0D00-00005B3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437" y="16396"/>
          <a:ext cx="1658254" cy="54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4912</xdr:colOff>
      <xdr:row>0</xdr:row>
      <xdr:rowOff>25920</xdr:rowOff>
    </xdr:from>
    <xdr:to>
      <xdr:col>1</xdr:col>
      <xdr:colOff>739241</xdr:colOff>
      <xdr:row>2</xdr:row>
      <xdr:rowOff>140895</xdr:rowOff>
    </xdr:to>
    <xdr:pic>
      <xdr:nvPicPr>
        <xdr:cNvPr id="16731" name="Picture 20">
          <a:extLst>
            <a:ext uri="{FF2B5EF4-FFF2-40B4-BE49-F238E27FC236}">
              <a16:creationId xmlns:a16="http://schemas.microsoft.com/office/drawing/2014/main" id="{00000000-0008-0000-0E00-00005B4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912" y="25920"/>
          <a:ext cx="1658254" cy="54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14437</xdr:colOff>
      <xdr:row>0</xdr:row>
      <xdr:rowOff>35445</xdr:rowOff>
    </xdr:from>
    <xdr:to>
      <xdr:col>1</xdr:col>
      <xdr:colOff>739241</xdr:colOff>
      <xdr:row>2</xdr:row>
      <xdr:rowOff>150420</xdr:rowOff>
    </xdr:to>
    <xdr:pic>
      <xdr:nvPicPr>
        <xdr:cNvPr id="17755" name="Picture 20">
          <a:extLst>
            <a:ext uri="{FF2B5EF4-FFF2-40B4-BE49-F238E27FC236}">
              <a16:creationId xmlns:a16="http://schemas.microsoft.com/office/drawing/2014/main" id="{00000000-0008-0000-0F00-00005B4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437" y="35445"/>
          <a:ext cx="1658254" cy="54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52426</xdr:colOff>
      <xdr:row>0</xdr:row>
      <xdr:rowOff>67235</xdr:rowOff>
    </xdr:from>
    <xdr:to>
      <xdr:col>0</xdr:col>
      <xdr:colOff>1837765</xdr:colOff>
      <xdr:row>1</xdr:row>
      <xdr:rowOff>284369</xdr:rowOff>
    </xdr:to>
    <xdr:pic>
      <xdr:nvPicPr>
        <xdr:cNvPr id="48203" name="Picture 1" descr="C:\Users\Fernando\Pictures\ntc.jpg">
          <a:extLst>
            <a:ext uri="{FF2B5EF4-FFF2-40B4-BE49-F238E27FC236}">
              <a16:creationId xmlns:a16="http://schemas.microsoft.com/office/drawing/2014/main" id="{00000000-0008-0000-1000-00004BB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6" y="67235"/>
          <a:ext cx="1785339" cy="81104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136712</xdr:colOff>
      <xdr:row>20</xdr:row>
      <xdr:rowOff>22973</xdr:rowOff>
    </xdr:from>
    <xdr:to>
      <xdr:col>0</xdr:col>
      <xdr:colOff>1959786</xdr:colOff>
      <xdr:row>22</xdr:row>
      <xdr:rowOff>67236</xdr:rowOff>
    </xdr:to>
    <xdr:pic>
      <xdr:nvPicPr>
        <xdr:cNvPr id="48224" name="Picture 1" descr="C:\Users\Fernando\Pictures\ntc.jpg">
          <a:extLst>
            <a:ext uri="{FF2B5EF4-FFF2-40B4-BE49-F238E27FC236}">
              <a16:creationId xmlns:a16="http://schemas.microsoft.com/office/drawing/2014/main" id="{00000000-0008-0000-1000-000060B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12" y="8001561"/>
          <a:ext cx="1823074" cy="67179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0</xdr:col>
      <xdr:colOff>1285875</xdr:colOff>
      <xdr:row>0</xdr:row>
      <xdr:rowOff>571500</xdr:rowOff>
    </xdr:to>
    <xdr:pic>
      <xdr:nvPicPr>
        <xdr:cNvPr id="68908" name="Picture 1" descr="C:\Users\Fernando\Pictures\ntc.jpg">
          <a:extLst>
            <a:ext uri="{FF2B5EF4-FFF2-40B4-BE49-F238E27FC236}">
              <a16:creationId xmlns:a16="http://schemas.microsoft.com/office/drawing/2014/main" id="{00000000-0008-0000-1100-00002C0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12192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14437</xdr:colOff>
      <xdr:row>0</xdr:row>
      <xdr:rowOff>35445</xdr:rowOff>
    </xdr:from>
    <xdr:to>
      <xdr:col>2</xdr:col>
      <xdr:colOff>101066</xdr:colOff>
      <xdr:row>2</xdr:row>
      <xdr:rowOff>150420</xdr:rowOff>
    </xdr:to>
    <xdr:pic>
      <xdr:nvPicPr>
        <xdr:cNvPr id="3994" name="Picture 20">
          <a:extLst>
            <a:ext uri="{FF2B5EF4-FFF2-40B4-BE49-F238E27FC236}">
              <a16:creationId xmlns:a16="http://schemas.microsoft.com/office/drawing/2014/main" id="{00000000-0008-0000-0100-00009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437" y="35445"/>
          <a:ext cx="1658254" cy="54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14438</xdr:colOff>
      <xdr:row>0</xdr:row>
      <xdr:rowOff>16396</xdr:rowOff>
    </xdr:from>
    <xdr:to>
      <xdr:col>2</xdr:col>
      <xdr:colOff>91543</xdr:colOff>
      <xdr:row>2</xdr:row>
      <xdr:rowOff>131371</xdr:rowOff>
    </xdr:to>
    <xdr:pic>
      <xdr:nvPicPr>
        <xdr:cNvPr id="188803" name="Picture 20">
          <a:extLst>
            <a:ext uri="{FF2B5EF4-FFF2-40B4-BE49-F238E27FC236}">
              <a16:creationId xmlns:a16="http://schemas.microsoft.com/office/drawing/2014/main" id="{00000000-0008-0000-0200-000083E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438" y="16396"/>
          <a:ext cx="1658255" cy="54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115</xdr:row>
      <xdr:rowOff>47625</xdr:rowOff>
    </xdr:from>
    <xdr:to>
      <xdr:col>7</xdr:col>
      <xdr:colOff>1000125</xdr:colOff>
      <xdr:row>136</xdr:row>
      <xdr:rowOff>28575</xdr:rowOff>
    </xdr:to>
    <xdr:graphicFrame macro="">
      <xdr:nvGraphicFramePr>
        <xdr:cNvPr id="188804" name="Gráfico 9">
          <a:extLst>
            <a:ext uri="{FF2B5EF4-FFF2-40B4-BE49-F238E27FC236}">
              <a16:creationId xmlns:a16="http://schemas.microsoft.com/office/drawing/2014/main" id="{00000000-0008-0000-0200-000084E1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4912</xdr:colOff>
      <xdr:row>0</xdr:row>
      <xdr:rowOff>16396</xdr:rowOff>
    </xdr:from>
    <xdr:to>
      <xdr:col>2</xdr:col>
      <xdr:colOff>82016</xdr:colOff>
      <xdr:row>2</xdr:row>
      <xdr:rowOff>131371</xdr:rowOff>
    </xdr:to>
    <xdr:pic>
      <xdr:nvPicPr>
        <xdr:cNvPr id="191873" name="Picture 20">
          <a:extLst>
            <a:ext uri="{FF2B5EF4-FFF2-40B4-BE49-F238E27FC236}">
              <a16:creationId xmlns:a16="http://schemas.microsoft.com/office/drawing/2014/main" id="{00000000-0008-0000-0300-000081ED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912" y="16396"/>
          <a:ext cx="1658254" cy="54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14437</xdr:colOff>
      <xdr:row>0</xdr:row>
      <xdr:rowOff>35445</xdr:rowOff>
    </xdr:from>
    <xdr:to>
      <xdr:col>2</xdr:col>
      <xdr:colOff>5816</xdr:colOff>
      <xdr:row>2</xdr:row>
      <xdr:rowOff>150420</xdr:rowOff>
    </xdr:to>
    <xdr:pic>
      <xdr:nvPicPr>
        <xdr:cNvPr id="201093" name="Picture 20">
          <a:extLst>
            <a:ext uri="{FF2B5EF4-FFF2-40B4-BE49-F238E27FC236}">
              <a16:creationId xmlns:a16="http://schemas.microsoft.com/office/drawing/2014/main" id="{00000000-0008-0000-0400-0000851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437" y="35445"/>
          <a:ext cx="1658254" cy="54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5202</xdr:colOff>
      <xdr:row>0</xdr:row>
      <xdr:rowOff>35445</xdr:rowOff>
    </xdr:from>
    <xdr:to>
      <xdr:col>2</xdr:col>
      <xdr:colOff>53731</xdr:colOff>
      <xdr:row>2</xdr:row>
      <xdr:rowOff>150420</xdr:rowOff>
    </xdr:to>
    <xdr:pic>
      <xdr:nvPicPr>
        <xdr:cNvPr id="195967" name="Picture 20">
          <a:extLst>
            <a:ext uri="{FF2B5EF4-FFF2-40B4-BE49-F238E27FC236}">
              <a16:creationId xmlns:a16="http://schemas.microsoft.com/office/drawing/2014/main" id="{00000000-0008-0000-0500-00007FFD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02" y="35445"/>
          <a:ext cx="1658254" cy="54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4912</xdr:colOff>
      <xdr:row>0</xdr:row>
      <xdr:rowOff>16396</xdr:rowOff>
    </xdr:from>
    <xdr:to>
      <xdr:col>2</xdr:col>
      <xdr:colOff>400747</xdr:colOff>
      <xdr:row>2</xdr:row>
      <xdr:rowOff>238978</xdr:rowOff>
    </xdr:to>
    <xdr:pic>
      <xdr:nvPicPr>
        <xdr:cNvPr id="7517" name="Picture 20">
          <a:extLst>
            <a:ext uri="{FF2B5EF4-FFF2-40B4-BE49-F238E27FC236}">
              <a16:creationId xmlns:a16="http://schemas.microsoft.com/office/drawing/2014/main" id="{00000000-0008-0000-0600-00005D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912" y="16396"/>
          <a:ext cx="1986510" cy="65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14437</xdr:colOff>
      <xdr:row>0</xdr:row>
      <xdr:rowOff>16396</xdr:rowOff>
    </xdr:from>
    <xdr:to>
      <xdr:col>1</xdr:col>
      <xdr:colOff>777341</xdr:colOff>
      <xdr:row>2</xdr:row>
      <xdr:rowOff>131371</xdr:rowOff>
    </xdr:to>
    <xdr:pic>
      <xdr:nvPicPr>
        <xdr:cNvPr id="10587" name="Picture 20">
          <a:extLst>
            <a:ext uri="{FF2B5EF4-FFF2-40B4-BE49-F238E27FC236}">
              <a16:creationId xmlns:a16="http://schemas.microsoft.com/office/drawing/2014/main" id="{00000000-0008-0000-0700-00005B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437" y="16396"/>
          <a:ext cx="1658254" cy="54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4912</xdr:colOff>
      <xdr:row>0</xdr:row>
      <xdr:rowOff>16396</xdr:rowOff>
    </xdr:from>
    <xdr:to>
      <xdr:col>1</xdr:col>
      <xdr:colOff>758291</xdr:colOff>
      <xdr:row>2</xdr:row>
      <xdr:rowOff>131371</xdr:rowOff>
    </xdr:to>
    <xdr:pic>
      <xdr:nvPicPr>
        <xdr:cNvPr id="1722" name="Picture 20">
          <a:extLst>
            <a:ext uri="{FF2B5EF4-FFF2-40B4-BE49-F238E27FC236}">
              <a16:creationId xmlns:a16="http://schemas.microsoft.com/office/drawing/2014/main" id="{00000000-0008-0000-0800-0000B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912" y="16396"/>
          <a:ext cx="1658254" cy="54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INSU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1012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420.xlsx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520.xlsx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620.xlsx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720.xlsx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820.xlsx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18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28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38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48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5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1112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68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78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88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98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08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18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28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19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29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3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1212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49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59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69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79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89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99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09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19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29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1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113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210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310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410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510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610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710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810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910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010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1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213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210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111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211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311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411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511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611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711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811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9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313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011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111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211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112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212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312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412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512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612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71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413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812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912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012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112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212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113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213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313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413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51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513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613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713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813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913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013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113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213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114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214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31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613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414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514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614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714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814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914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014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114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214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11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713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215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315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415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515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615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715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815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915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015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1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VINSUM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813.xls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215.xls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116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216.xls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316_V1.xls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416_V1.xls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516_V1.xls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616_V1.xls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716_V1.xls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816_V1.xls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916_V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913.xls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016_V1.xls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116_V1.xls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216_V1.xls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117_V1.xls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217_V1.xls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317_V1.xls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417_V1.xls" TargetMode="External"/></Relationships>
</file>

<file path=xl/externalLinks/_rels/externalLink21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517_V1.xls" TargetMode="External"/></Relationships>
</file>

<file path=xl/externalLinks/_rels/externalLink21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617_V1.xls" TargetMode="External"/></Relationships>
</file>

<file path=xl/externalLinks/_rels/externalLink21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717_v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1013.xls" TargetMode="External"/></Relationships>
</file>

<file path=xl/externalLinks/_rels/externalLink22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817_v1.xls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917_v1.xls" TargetMode="External"/></Relationships>
</file>

<file path=xl/externalLinks/_rels/externalLink22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017_v1.xls" TargetMode="External"/></Relationships>
</file>

<file path=xl/externalLinks/_rels/externalLink22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117_v1.xls" TargetMode="External"/></Relationships>
</file>

<file path=xl/externalLinks/_rels/externalLink22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217_V1.xls" TargetMode="External"/></Relationships>
</file>

<file path=xl/externalLinks/_rels/externalLink22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118_v1.xls" TargetMode="External"/></Relationships>
</file>

<file path=xl/externalLinks/_rels/externalLink22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218_v1.xls" TargetMode="External"/></Relationships>
</file>

<file path=xl/externalLinks/_rels/externalLink22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318_V1.xls" TargetMode="External"/></Relationships>
</file>

<file path=xl/externalLinks/_rels/externalLink22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418_V1.xls" TargetMode="External"/></Relationships>
</file>

<file path=xl/externalLinks/_rels/externalLink22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518_V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1113.xls" TargetMode="External"/></Relationships>
</file>

<file path=xl/externalLinks/_rels/externalLink23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618_V1.xls" TargetMode="External"/></Relationships>
</file>

<file path=xl/externalLinks/_rels/externalLink23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718_V1.xls" TargetMode="External"/></Relationships>
</file>

<file path=xl/externalLinks/_rels/externalLink23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818_V1.xls" TargetMode="External"/></Relationships>
</file>

<file path=xl/externalLinks/_rels/externalLink23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918_V1.xls" TargetMode="External"/></Relationships>
</file>

<file path=xl/externalLinks/_rels/externalLink23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018_V1.xls" TargetMode="External"/></Relationships>
</file>

<file path=xl/externalLinks/_rels/externalLink23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118_V1.xls" TargetMode="External"/></Relationships>
</file>

<file path=xl/externalLinks/_rels/externalLink23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218_V1.xls" TargetMode="External"/></Relationships>
</file>

<file path=xl/externalLinks/_rels/externalLink23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119_V1.xls" TargetMode="External"/></Relationships>
</file>

<file path=xl/externalLinks/_rels/externalLink23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219_V1.xls" TargetMode="External"/></Relationships>
</file>

<file path=xl/externalLinks/_rels/externalLink23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319_V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1213.xls" TargetMode="External"/></Relationships>
</file>

<file path=xl/externalLinks/_rels/externalLink24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419_V1.xls" TargetMode="External"/></Relationships>
</file>

<file path=xl/externalLinks/_rels/externalLink24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519_V1.xls" TargetMode="External"/></Relationships>
</file>

<file path=xl/externalLinks/_rels/externalLink24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619_V1.xls" TargetMode="External"/></Relationships>
</file>

<file path=xl/externalLinks/_rels/externalLink24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719_V1.xls" TargetMode="External"/></Relationships>
</file>

<file path=xl/externalLinks/_rels/externalLink24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819_V1.xls" TargetMode="External"/></Relationships>
</file>

<file path=xl/externalLinks/_rels/externalLink24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919_V1.xls" TargetMode="External"/></Relationships>
</file>

<file path=xl/externalLinks/_rels/externalLink24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019_V1.xls" TargetMode="External"/></Relationships>
</file>

<file path=xl/externalLinks/_rels/externalLink24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119_V1.xls" TargetMode="External"/></Relationships>
</file>

<file path=xl/externalLinks/_rels/externalLink24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1219_V1.xls" TargetMode="External"/></Relationships>
</file>

<file path=xl/externalLinks/_rels/externalLink24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120_V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114.xls" TargetMode="External"/></Relationships>
</file>

<file path=xl/externalLinks/_rels/externalLink25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220_V1.xls" TargetMode="External"/></Relationships>
</file>

<file path=xl/externalLinks/_rels/externalLink25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320_V1.xls" TargetMode="External"/></Relationships>
</file>

<file path=xl/externalLinks/_rels/externalLink25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420_V1.xls" TargetMode="External"/></Relationships>
</file>

<file path=xl/externalLinks/_rels/externalLink25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520_V1.xls" TargetMode="External"/></Relationships>
</file>

<file path=xl/externalLinks/_rels/externalLink25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620_V1.xls" TargetMode="External"/></Relationships>
</file>

<file path=xl/externalLinks/_rels/externalLink25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720_V1.xls" TargetMode="External"/></Relationships>
</file>

<file path=xl/externalLinks/_rels/externalLink25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820_V1.xls" TargetMode="External"/></Relationships>
</file>

<file path=xl/externalLinks/_rels/externalLink25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DTRANS/INDIPRE.xls" TargetMode="External"/></Relationships>
</file>

<file path=xl/externalLinks/_rels/externalLink25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920.xlsx" TargetMode="External"/></Relationships>
</file>

<file path=xl/externalLinks/_rels/externalLink25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920_V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21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31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41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5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31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61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71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81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91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101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111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121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11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215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3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41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415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515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615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71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815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91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1015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1115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1215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1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51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216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316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416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516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616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716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816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916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1016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11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61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1216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117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217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317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417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517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617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717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817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9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712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1017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1117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1217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118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218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318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418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518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618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7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812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818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918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1018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1118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1218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119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219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319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419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5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91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619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719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819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919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1019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1119.xlsx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1219.xlsx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120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220.xlsx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3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ral"/>
      <sheetName val="Resumo"/>
      <sheetName val="Diesel_S500"/>
      <sheetName val="Diesel_S10"/>
      <sheetName val="ARLA_32"/>
      <sheetName val="ANP"/>
      <sheetName val="ANP S-50_S-10  "/>
      <sheetName val="aumentos comb"/>
      <sheetName val="câmbio"/>
      <sheetName val="cárter"/>
      <sheetName val="mnt_atron 2324"/>
      <sheetName val="mnt_ACCELO 815"/>
      <sheetName val="motrod"/>
      <sheetName val="moturb"/>
      <sheetName val="ajud"/>
      <sheetName val="DAT"/>
      <sheetName val="MB ATRON 2324"/>
      <sheetName val="MB ACCELO 815 "/>
      <sheetName val="cartru"/>
      <sheetName val="carlev"/>
      <sheetName val="rodoartq"/>
      <sheetName val="rodoarlv"/>
      <sheetName val="Pn1000"/>
      <sheetName val="Pn750"/>
      <sheetName val="camara1000"/>
      <sheetName val="camara750"/>
      <sheetName val="Prot1000"/>
      <sheetName val="Prot750"/>
      <sheetName val="Pn275"/>
      <sheetName val="Pn215"/>
      <sheetName val="Pn205"/>
      <sheetName val="Rec1000"/>
      <sheetName val="Rec750"/>
      <sheetName val="Lavtq"/>
      <sheetName val="Lavlv"/>
      <sheetName val="Seg_ATRON 2324"/>
      <sheetName val="Seg_ACCELO 815"/>
      <sheetName val="peças"/>
      <sheetName val="mecânico"/>
      <sheetName val="MB12(13)18"/>
      <sheetName val="MB1620"/>
      <sheetName val="camara900"/>
      <sheetName val="eixo"/>
      <sheetName val="Pn900"/>
      <sheetName val="Prot900"/>
      <sheetName val="Rec900"/>
      <sheetName val="Seg1218"/>
      <sheetName val="GRISR"/>
      <sheetName val="GRISCE"/>
      <sheetName val="diesel"/>
      <sheetName val="mnt1620"/>
      <sheetName val="mnt710"/>
      <sheetName val="mb1620tq"/>
      <sheetName val="mb750"/>
      <sheetName val="Seg1620"/>
      <sheetName val="Seg710"/>
      <sheetName val="fr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6">
          <cell r="B56" t="str">
            <v>VAR. (%)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>
        <row r="70">
          <cell r="C70">
            <v>118.71487617182812</v>
          </cell>
        </row>
        <row r="73">
          <cell r="B73">
            <v>0</v>
          </cell>
          <cell r="D73" t="e">
            <v>#DIV/0!</v>
          </cell>
          <cell r="E73">
            <v>-100</v>
          </cell>
          <cell r="F73">
            <v>-100</v>
          </cell>
          <cell r="G73">
            <v>-100</v>
          </cell>
        </row>
      </sheetData>
      <sheetData sheetId="40"/>
      <sheetData sheetId="41" refreshError="1">
        <row r="70">
          <cell r="C70">
            <v>118.40796019900498</v>
          </cell>
        </row>
        <row r="72">
          <cell r="E72">
            <v>-0.21008403361344463</v>
          </cell>
        </row>
        <row r="73">
          <cell r="B73">
            <v>29.22</v>
          </cell>
          <cell r="D73">
            <v>2.5263157894736876</v>
          </cell>
          <cell r="F73">
            <v>6.4093226511289014</v>
          </cell>
          <cell r="G73">
            <v>19.314005716619032</v>
          </cell>
        </row>
      </sheetData>
      <sheetData sheetId="42"/>
      <sheetData sheetId="43" refreshError="1">
        <row r="70">
          <cell r="C70">
            <v>144.59180223165646</v>
          </cell>
        </row>
        <row r="73">
          <cell r="B73">
            <v>391.67</v>
          </cell>
          <cell r="D73">
            <v>2.2637075718015653</v>
          </cell>
          <cell r="E73">
            <v>1.7694746141454054</v>
          </cell>
          <cell r="F73">
            <v>10.11555005763447</v>
          </cell>
          <cell r="G73">
            <v>25.134185303514389</v>
          </cell>
        </row>
      </sheetData>
      <sheetData sheetId="44" refreshError="1">
        <row r="70">
          <cell r="C70">
            <v>111.45833333333333</v>
          </cell>
        </row>
        <row r="73">
          <cell r="B73">
            <v>18.64</v>
          </cell>
          <cell r="D73">
            <v>24.84929671801741</v>
          </cell>
          <cell r="E73">
            <v>16.137071651090352</v>
          </cell>
          <cell r="F73">
            <v>19.334186939820764</v>
          </cell>
          <cell r="G73">
            <v>28.109965635738821</v>
          </cell>
        </row>
      </sheetData>
      <sheetData sheetId="45" refreshError="1">
        <row r="70">
          <cell r="C70">
            <v>130.75394506136763</v>
          </cell>
        </row>
        <row r="73">
          <cell r="B73">
            <v>119.93</v>
          </cell>
          <cell r="D73">
            <v>1.2067510548523286</v>
          </cell>
          <cell r="E73">
            <v>7.2143751117468291</v>
          </cell>
          <cell r="F73">
            <v>6.1327433628318717</v>
          </cell>
          <cell r="G73">
            <v>32.066952978746841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688.46461637905236</v>
          </cell>
        </row>
      </sheetData>
      <sheetData sheetId="3">
        <row r="8">
          <cell r="E8">
            <v>545.91299753201679</v>
          </cell>
        </row>
      </sheetData>
      <sheetData sheetId="4"/>
      <sheetData sheetId="5">
        <row r="8">
          <cell r="E8">
            <v>142.55161884703551</v>
          </cell>
        </row>
      </sheetData>
      <sheetData sheetId="6"/>
      <sheetData sheetId="7">
        <row r="27">
          <cell r="H27">
            <v>209582.75</v>
          </cell>
        </row>
      </sheetData>
      <sheetData sheetId="8">
        <row r="28">
          <cell r="H28">
            <v>110553.2</v>
          </cell>
        </row>
      </sheetData>
      <sheetData sheetId="9">
        <row r="5">
          <cell r="I5">
            <v>403.96287303972281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2.1772</v>
          </cell>
        </row>
      </sheetData>
      <sheetData sheetId="21"/>
      <sheetData sheetId="22"/>
      <sheetData sheetId="23">
        <row r="9">
          <cell r="D9">
            <v>4.1980000000000004</v>
          </cell>
        </row>
      </sheetData>
      <sheetData sheetId="24"/>
      <sheetData sheetId="25"/>
      <sheetData sheetId="26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  <sheetName val="\CARROCERIA"/>
    </sheetNames>
    <sheetDataSet>
      <sheetData sheetId="0">
        <row r="5">
          <cell r="E5">
            <v>28.708397525001828</v>
          </cell>
        </row>
      </sheetData>
      <sheetData sheetId="1">
        <row r="61">
          <cell r="H61">
            <v>7.2276386311537104</v>
          </cell>
        </row>
      </sheetData>
      <sheetData sheetId="2">
        <row r="20">
          <cell r="D20">
            <v>1055.0504429541402</v>
          </cell>
        </row>
      </sheetData>
      <sheetData sheetId="3">
        <row r="8">
          <cell r="E8">
            <v>822.14768653486931</v>
          </cell>
        </row>
      </sheetData>
      <sheetData sheetId="4"/>
      <sheetData sheetId="5">
        <row r="8">
          <cell r="E8">
            <v>232.9027564192709</v>
          </cell>
        </row>
      </sheetData>
      <sheetData sheetId="6"/>
      <sheetData sheetId="7">
        <row r="27">
          <cell r="H27">
            <v>292132</v>
          </cell>
        </row>
      </sheetData>
      <sheetData sheetId="8">
        <row r="28">
          <cell r="I28">
            <v>170781</v>
          </cell>
        </row>
      </sheetData>
      <sheetData sheetId="9">
        <row r="5">
          <cell r="I5">
            <v>591.52677188359064</v>
          </cell>
        </row>
      </sheetData>
      <sheetData sheetId="10"/>
      <sheetData sheetId="11"/>
      <sheetData sheetId="12"/>
      <sheetData sheetId="13"/>
      <sheetData sheetId="14"/>
      <sheetData sheetId="15">
        <row r="21">
          <cell r="D21">
            <v>24693.587499999998</v>
          </cell>
        </row>
      </sheetData>
      <sheetData sheetId="16"/>
      <sheetData sheetId="17"/>
      <sheetData sheetId="18"/>
      <sheetData sheetId="19"/>
      <sheetData sheetId="20">
        <row r="18">
          <cell r="F18">
            <v>3.301000000000001</v>
          </cell>
        </row>
      </sheetData>
      <sheetData sheetId="21">
        <row r="7">
          <cell r="D7">
            <v>3.2029999999999998</v>
          </cell>
        </row>
      </sheetData>
      <sheetData sheetId="22"/>
      <sheetData sheetId="23">
        <row r="8">
          <cell r="D8">
            <v>1.9070000000000003</v>
          </cell>
        </row>
      </sheetData>
      <sheetData sheetId="24"/>
      <sheetData sheetId="25"/>
      <sheetData sheetId="26"/>
      <sheetData sheetId="27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7">
          <cell r="H27">
            <v>298574</v>
          </cell>
        </row>
      </sheetData>
      <sheetData sheetId="8">
        <row r="28">
          <cell r="I28">
            <v>172084</v>
          </cell>
        </row>
      </sheetData>
      <sheetData sheetId="9">
        <row r="5">
          <cell r="I5">
            <v>591.8184989889055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3.1059999999999994</v>
          </cell>
        </row>
      </sheetData>
      <sheetData sheetId="21"/>
      <sheetData sheetId="22"/>
      <sheetData sheetId="23">
        <row r="8">
          <cell r="D8">
            <v>1.823666666666667</v>
          </cell>
        </row>
      </sheetData>
      <sheetData sheetId="24"/>
      <sheetData sheetId="25"/>
      <sheetData sheetId="26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7">
          <cell r="H27">
            <v>301902</v>
          </cell>
        </row>
      </sheetData>
      <sheetData sheetId="8">
        <row r="28">
          <cell r="I28">
            <v>171938</v>
          </cell>
        </row>
      </sheetData>
      <sheetData sheetId="9">
        <row r="5">
          <cell r="I5">
            <v>592.0252538959553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3.23</v>
          </cell>
        </row>
      </sheetData>
      <sheetData sheetId="21"/>
      <sheetData sheetId="22"/>
      <sheetData sheetId="23">
        <row r="8">
          <cell r="D8">
            <v>1.823666666666667</v>
          </cell>
        </row>
      </sheetData>
      <sheetData sheetId="24"/>
      <sheetData sheetId="25"/>
      <sheetData sheetId="26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7">
          <cell r="H27">
            <v>302130</v>
          </cell>
        </row>
      </sheetData>
      <sheetData sheetId="8">
        <row r="28">
          <cell r="I28">
            <v>172063</v>
          </cell>
        </row>
      </sheetData>
      <sheetData sheetId="9">
        <row r="5">
          <cell r="I5">
            <v>594.18266068657317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3.4039999999999999</v>
          </cell>
        </row>
      </sheetData>
      <sheetData sheetId="21"/>
      <sheetData sheetId="22"/>
      <sheetData sheetId="23">
        <row r="8">
          <cell r="D8">
            <v>1.823666666666667</v>
          </cell>
        </row>
      </sheetData>
      <sheetData sheetId="24"/>
      <sheetData sheetId="25"/>
      <sheetData sheetId="26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>
        <row r="5">
          <cell r="E5">
            <v>28.780218899924911</v>
          </cell>
        </row>
      </sheetData>
      <sheetData sheetId="1">
        <row r="61">
          <cell r="H61">
            <v>7.2457204117018774</v>
          </cell>
        </row>
      </sheetData>
      <sheetData sheetId="2">
        <row r="20">
          <cell r="D20">
            <v>1081.1500749813199</v>
          </cell>
        </row>
      </sheetData>
      <sheetData sheetId="3">
        <row r="8">
          <cell r="E8">
            <v>838.56684987588437</v>
          </cell>
        </row>
      </sheetData>
      <sheetData sheetId="4"/>
      <sheetData sheetId="5">
        <row r="8">
          <cell r="E8">
            <v>242.58322510543556</v>
          </cell>
        </row>
      </sheetData>
      <sheetData sheetId="6"/>
      <sheetData sheetId="7">
        <row r="27">
          <cell r="H27">
            <v>296114</v>
          </cell>
        </row>
      </sheetData>
      <sheetData sheetId="8">
        <row r="28">
          <cell r="I28">
            <v>179177</v>
          </cell>
        </row>
      </sheetData>
      <sheetData sheetId="9">
        <row r="5">
          <cell r="I5">
            <v>595.74859116184723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3.4430000000000005</v>
          </cell>
        </row>
      </sheetData>
      <sheetData sheetId="21">
        <row r="7">
          <cell r="D7">
            <v>3.3739999999999997</v>
          </cell>
        </row>
      </sheetData>
      <sheetData sheetId="22"/>
      <sheetData sheetId="23">
        <row r="8">
          <cell r="D8">
            <v>1.823666666666667</v>
          </cell>
        </row>
      </sheetData>
      <sheetData sheetId="24"/>
      <sheetData sheetId="25"/>
      <sheetData sheetId="26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</sheetNames>
    <sheetDataSet>
      <sheetData sheetId="0">
        <row r="13">
          <cell r="C13">
            <v>9.6865409557960191</v>
          </cell>
        </row>
      </sheetData>
      <sheetData sheetId="1"/>
      <sheetData sheetId="2"/>
      <sheetData sheetId="3">
        <row r="172">
          <cell r="H172">
            <v>2774.4746976631532</v>
          </cell>
        </row>
        <row r="194">
          <cell r="H194">
            <v>0.16700524950707094</v>
          </cell>
        </row>
      </sheetData>
      <sheetData sheetId="4"/>
      <sheetData sheetId="5">
        <row r="20">
          <cell r="D20">
            <v>294400</v>
          </cell>
        </row>
      </sheetData>
      <sheetData sheetId="6">
        <row r="20">
          <cell r="D20">
            <v>72916.666666666672</v>
          </cell>
        </row>
      </sheetData>
      <sheetData sheetId="7">
        <row r="16">
          <cell r="D16">
            <v>147.5</v>
          </cell>
        </row>
      </sheetData>
      <sheetData sheetId="8">
        <row r="26">
          <cell r="C26">
            <v>1216.0999999999999</v>
          </cell>
        </row>
      </sheetData>
      <sheetData sheetId="9">
        <row r="29">
          <cell r="D29">
            <v>324.60000000000002</v>
          </cell>
        </row>
      </sheetData>
      <sheetData sheetId="10">
        <row r="26">
          <cell r="D26">
            <v>1010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</sheetNames>
    <sheetDataSet>
      <sheetData sheetId="0">
        <row r="13">
          <cell r="C13">
            <v>9.6865409557960191</v>
          </cell>
        </row>
      </sheetData>
      <sheetData sheetId="1"/>
      <sheetData sheetId="2"/>
      <sheetData sheetId="3">
        <row r="172">
          <cell r="H172">
            <v>2785.4618779069506</v>
          </cell>
        </row>
        <row r="194">
          <cell r="H194">
            <v>0.1681241846787683</v>
          </cell>
        </row>
      </sheetData>
      <sheetData sheetId="4"/>
      <sheetData sheetId="5">
        <row r="20">
          <cell r="D20">
            <v>295280</v>
          </cell>
        </row>
      </sheetData>
      <sheetData sheetId="6">
        <row r="20">
          <cell r="D20">
            <v>73583.333333333328</v>
          </cell>
        </row>
      </sheetData>
      <sheetData sheetId="7">
        <row r="16">
          <cell r="D16">
            <v>149</v>
          </cell>
        </row>
      </sheetData>
      <sheetData sheetId="8">
        <row r="26">
          <cell r="C26">
            <v>1268</v>
          </cell>
        </row>
      </sheetData>
      <sheetData sheetId="9">
        <row r="29">
          <cell r="D29">
            <v>317</v>
          </cell>
        </row>
      </sheetData>
      <sheetData sheetId="10">
        <row r="26">
          <cell r="D26">
            <v>1010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</sheetNames>
    <sheetDataSet>
      <sheetData sheetId="0">
        <row r="13">
          <cell r="C13">
            <v>9.6865409557960191</v>
          </cell>
        </row>
      </sheetData>
      <sheetData sheetId="1"/>
      <sheetData sheetId="2"/>
      <sheetData sheetId="3">
        <row r="172">
          <cell r="H172">
            <v>2786.612757132204</v>
          </cell>
        </row>
        <row r="194">
          <cell r="H194">
            <v>0.1689647421401673</v>
          </cell>
        </row>
      </sheetData>
      <sheetData sheetId="4"/>
      <sheetData sheetId="5">
        <row r="20">
          <cell r="D20">
            <v>295680</v>
          </cell>
        </row>
      </sheetData>
      <sheetData sheetId="6">
        <row r="20">
          <cell r="D20">
            <v>73250</v>
          </cell>
        </row>
      </sheetData>
      <sheetData sheetId="7">
        <row r="16">
          <cell r="D16">
            <v>150</v>
          </cell>
        </row>
      </sheetData>
      <sheetData sheetId="8">
        <row r="26">
          <cell r="C26">
            <v>1274.3333333333333</v>
          </cell>
        </row>
      </sheetData>
      <sheetData sheetId="9">
        <row r="29">
          <cell r="D29">
            <v>326</v>
          </cell>
        </row>
      </sheetData>
      <sheetData sheetId="10">
        <row r="26">
          <cell r="D26">
            <v>1016.6666666666666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</sheetNames>
    <sheetDataSet>
      <sheetData sheetId="0">
        <row r="13">
          <cell r="C13">
            <v>9.6865409464730252</v>
          </cell>
        </row>
      </sheetData>
      <sheetData sheetId="1"/>
      <sheetData sheetId="2"/>
      <sheetData sheetId="3">
        <row r="172">
          <cell r="H172">
            <v>2795.3920639225194</v>
          </cell>
        </row>
        <row r="194">
          <cell r="H194">
            <v>0.16982646232508217</v>
          </cell>
        </row>
      </sheetData>
      <sheetData sheetId="4"/>
      <sheetData sheetId="5">
        <row r="20">
          <cell r="D20">
            <v>296090</v>
          </cell>
        </row>
      </sheetData>
      <sheetData sheetId="6">
        <row r="20">
          <cell r="D20">
            <v>74166.666666666672</v>
          </cell>
        </row>
      </sheetData>
      <sheetData sheetId="7">
        <row r="16">
          <cell r="D16">
            <v>151</v>
          </cell>
        </row>
      </sheetData>
      <sheetData sheetId="8">
        <row r="26">
          <cell r="C26">
            <v>1258.7142857142858</v>
          </cell>
        </row>
      </sheetData>
      <sheetData sheetId="9">
        <row r="29">
          <cell r="D29">
            <v>322.5</v>
          </cell>
        </row>
      </sheetData>
      <sheetData sheetId="10">
        <row r="26">
          <cell r="D26">
            <v>1016.6666666666666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</sheetNames>
    <sheetDataSet>
      <sheetData sheetId="0">
        <row r="13">
          <cell r="C13">
            <v>9.9291785278997473</v>
          </cell>
        </row>
      </sheetData>
      <sheetData sheetId="1"/>
      <sheetData sheetId="2"/>
      <sheetData sheetId="3">
        <row r="172">
          <cell r="H172">
            <v>2794.738231361926</v>
          </cell>
        </row>
        <row r="194">
          <cell r="H194">
            <v>0.17091335168396268</v>
          </cell>
        </row>
      </sheetData>
      <sheetData sheetId="4"/>
      <sheetData sheetId="5">
        <row r="20">
          <cell r="D20">
            <v>296440</v>
          </cell>
        </row>
      </sheetData>
      <sheetData sheetId="6">
        <row r="20">
          <cell r="D20">
            <v>73600</v>
          </cell>
        </row>
      </sheetData>
      <sheetData sheetId="7">
        <row r="16">
          <cell r="D16">
            <v>152</v>
          </cell>
        </row>
      </sheetData>
      <sheetData sheetId="8">
        <row r="26">
          <cell r="C26">
            <v>1294.4000000000001</v>
          </cell>
        </row>
      </sheetData>
      <sheetData sheetId="9">
        <row r="29">
          <cell r="D29">
            <v>329</v>
          </cell>
        </row>
      </sheetData>
      <sheetData sheetId="10">
        <row r="26">
          <cell r="D26">
            <v>1016.6666666666666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689.11061593369254</v>
          </cell>
        </row>
      </sheetData>
      <sheetData sheetId="3">
        <row r="8">
          <cell r="E8">
            <v>546.28525554662667</v>
          </cell>
        </row>
      </sheetData>
      <sheetData sheetId="4"/>
      <sheetData sheetId="5">
        <row r="8">
          <cell r="E8">
            <v>142.82536038706587</v>
          </cell>
        </row>
      </sheetData>
      <sheetData sheetId="6"/>
      <sheetData sheetId="7">
        <row r="27">
          <cell r="H27">
            <v>211207.75</v>
          </cell>
        </row>
      </sheetData>
      <sheetData sheetId="8">
        <row r="28">
          <cell r="H28">
            <v>111993.2</v>
          </cell>
        </row>
      </sheetData>
      <sheetData sheetId="9">
        <row r="5">
          <cell r="I5">
            <v>403.96287303972281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2.1970000000000001</v>
          </cell>
        </row>
      </sheetData>
      <sheetData sheetId="21"/>
      <sheetData sheetId="22"/>
      <sheetData sheetId="23">
        <row r="9">
          <cell r="D9">
            <v>4.0980000000000008</v>
          </cell>
        </row>
      </sheetData>
      <sheetData sheetId="24"/>
      <sheetData sheetId="25"/>
      <sheetData sheetId="26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</sheetNames>
    <sheetDataSet>
      <sheetData sheetId="0">
        <row r="13">
          <cell r="C13">
            <v>9.9349762030813356</v>
          </cell>
        </row>
      </sheetData>
      <sheetData sheetId="1"/>
      <sheetData sheetId="2"/>
      <sheetData sheetId="3">
        <row r="172">
          <cell r="H172">
            <v>2806.3722945040818</v>
          </cell>
        </row>
        <row r="194">
          <cell r="H194">
            <v>0.17255411986012872</v>
          </cell>
        </row>
      </sheetData>
      <sheetData sheetId="4"/>
      <sheetData sheetId="5">
        <row r="20">
          <cell r="D20">
            <v>297160</v>
          </cell>
        </row>
      </sheetData>
      <sheetData sheetId="6">
        <row r="20">
          <cell r="D20">
            <v>74583.333333333328</v>
          </cell>
        </row>
      </sheetData>
      <sheetData sheetId="7">
        <row r="16">
          <cell r="D16">
            <v>153</v>
          </cell>
        </row>
      </sheetData>
      <sheetData sheetId="8">
        <row r="26">
          <cell r="C26">
            <v>1281.5999999999999</v>
          </cell>
        </row>
      </sheetData>
      <sheetData sheetId="9">
        <row r="29">
          <cell r="D29">
            <v>323</v>
          </cell>
        </row>
      </sheetData>
      <sheetData sheetId="10">
        <row r="26">
          <cell r="D26">
            <v>1025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TABELA"/>
      <sheetName val="PLANCUSr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</sheetNames>
    <sheetDataSet>
      <sheetData sheetId="0">
        <row r="13">
          <cell r="C13">
            <v>10.187924773482813</v>
          </cell>
        </row>
      </sheetData>
      <sheetData sheetId="1"/>
      <sheetData sheetId="2"/>
      <sheetData sheetId="3"/>
      <sheetData sheetId="4">
        <row r="172">
          <cell r="H172">
            <v>2822.0050435610979</v>
          </cell>
        </row>
        <row r="194">
          <cell r="H194">
            <v>0.1741243623508559</v>
          </cell>
        </row>
      </sheetData>
      <sheetData sheetId="5"/>
      <sheetData sheetId="6">
        <row r="20">
          <cell r="D20">
            <v>298780</v>
          </cell>
        </row>
      </sheetData>
      <sheetData sheetId="7">
        <row r="20">
          <cell r="D20">
            <v>75050</v>
          </cell>
        </row>
      </sheetData>
      <sheetData sheetId="8">
        <row r="16">
          <cell r="D16">
            <v>154</v>
          </cell>
        </row>
      </sheetData>
      <sheetData sheetId="9">
        <row r="26">
          <cell r="C26">
            <v>1273</v>
          </cell>
        </row>
      </sheetData>
      <sheetData sheetId="10">
        <row r="29">
          <cell r="D29">
            <v>336</v>
          </cell>
        </row>
      </sheetData>
      <sheetData sheetId="11">
        <row r="26">
          <cell r="D26">
            <v>1025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10.187924773482813</v>
          </cell>
        </row>
      </sheetData>
      <sheetData sheetId="1"/>
      <sheetData sheetId="2"/>
      <sheetData sheetId="3">
        <row r="172">
          <cell r="H172">
            <v>2842.300288377854</v>
          </cell>
        </row>
        <row r="194">
          <cell r="H194">
            <v>0.17513428365249087</v>
          </cell>
        </row>
      </sheetData>
      <sheetData sheetId="4"/>
      <sheetData sheetId="5">
        <row r="20">
          <cell r="D20">
            <v>300880</v>
          </cell>
        </row>
      </sheetData>
      <sheetData sheetId="6">
        <row r="20">
          <cell r="D20">
            <v>75660</v>
          </cell>
        </row>
      </sheetData>
      <sheetData sheetId="7">
        <row r="16">
          <cell r="D16">
            <v>152.5</v>
          </cell>
        </row>
      </sheetData>
      <sheetData sheetId="8">
        <row r="26">
          <cell r="C26">
            <v>1285.8571428571429</v>
          </cell>
        </row>
      </sheetData>
      <sheetData sheetId="9">
        <row r="29">
          <cell r="D29">
            <v>330.66666666666669</v>
          </cell>
        </row>
      </sheetData>
      <sheetData sheetId="10">
        <row r="26">
          <cell r="D26">
            <v>1030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10.187924773482813</v>
          </cell>
        </row>
      </sheetData>
      <sheetData sheetId="1"/>
      <sheetData sheetId="2"/>
      <sheetData sheetId="3">
        <row r="172">
          <cell r="H172">
            <v>2843.1319136482084</v>
          </cell>
        </row>
        <row r="194">
          <cell r="H194">
            <v>0.17550206564816109</v>
          </cell>
        </row>
      </sheetData>
      <sheetData sheetId="4"/>
      <sheetData sheetId="5">
        <row r="20">
          <cell r="D20">
            <v>301260</v>
          </cell>
        </row>
      </sheetData>
      <sheetData sheetId="6">
        <row r="20">
          <cell r="D20">
            <v>75300</v>
          </cell>
        </row>
      </sheetData>
      <sheetData sheetId="7">
        <row r="16">
          <cell r="D16">
            <v>155</v>
          </cell>
        </row>
      </sheetData>
      <sheetData sheetId="8">
        <row r="26">
          <cell r="C26">
            <v>1273.5999999999999</v>
          </cell>
        </row>
      </sheetData>
      <sheetData sheetId="9">
        <row r="29">
          <cell r="D29">
            <v>342</v>
          </cell>
        </row>
      </sheetData>
      <sheetData sheetId="10">
        <row r="26">
          <cell r="D26">
            <v>1030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10.187924773482813</v>
          </cell>
        </row>
      </sheetData>
      <sheetData sheetId="1"/>
      <sheetData sheetId="2"/>
      <sheetData sheetId="3">
        <row r="172">
          <cell r="H172">
            <v>2861.4972045029072</v>
          </cell>
        </row>
        <row r="194">
          <cell r="H194">
            <v>0.17576531874663334</v>
          </cell>
        </row>
      </sheetData>
      <sheetData sheetId="4"/>
      <sheetData sheetId="5">
        <row r="20">
          <cell r="D20">
            <v>303200</v>
          </cell>
        </row>
      </sheetData>
      <sheetData sheetId="6">
        <row r="20">
          <cell r="D20">
            <v>75800</v>
          </cell>
        </row>
      </sheetData>
      <sheetData sheetId="7">
        <row r="26">
          <cell r="C26">
            <v>1338.7142857142858</v>
          </cell>
        </row>
      </sheetData>
      <sheetData sheetId="8">
        <row r="16">
          <cell r="D16">
            <v>157</v>
          </cell>
        </row>
      </sheetData>
      <sheetData sheetId="9">
        <row r="29">
          <cell r="D29">
            <v>340</v>
          </cell>
        </row>
      </sheetData>
      <sheetData sheetId="10">
        <row r="26">
          <cell r="D26">
            <v>1030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10.187924773482813</v>
          </cell>
        </row>
      </sheetData>
      <sheetData sheetId="1"/>
      <sheetData sheetId="2"/>
      <sheetData sheetId="3">
        <row r="172">
          <cell r="H172">
            <v>2861.8713287358137</v>
          </cell>
        </row>
        <row r="194">
          <cell r="H194">
            <v>0.17664414534036649</v>
          </cell>
        </row>
      </sheetData>
      <sheetData sheetId="4"/>
      <sheetData sheetId="5">
        <row r="20">
          <cell r="D20">
            <v>303400</v>
          </cell>
        </row>
      </sheetData>
      <sheetData sheetId="6">
        <row r="20">
          <cell r="D20">
            <v>75600</v>
          </cell>
        </row>
      </sheetData>
      <sheetData sheetId="7">
        <row r="26">
          <cell r="C26">
            <v>1369.4</v>
          </cell>
        </row>
      </sheetData>
      <sheetData sheetId="8">
        <row r="16">
          <cell r="D16">
            <v>157</v>
          </cell>
        </row>
      </sheetData>
      <sheetData sheetId="9">
        <row r="29">
          <cell r="D29">
            <v>345</v>
          </cell>
        </row>
      </sheetData>
      <sheetData sheetId="10">
        <row r="26">
          <cell r="D26">
            <v>1030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10.187924773482813</v>
          </cell>
        </row>
      </sheetData>
      <sheetData sheetId="1"/>
      <sheetData sheetId="2"/>
      <sheetData sheetId="3">
        <row r="172">
          <cell r="H172">
            <v>2860.7061962472935</v>
          </cell>
        </row>
        <row r="194">
          <cell r="H194">
            <v>0.1773153930926599</v>
          </cell>
        </row>
      </sheetData>
      <sheetData sheetId="4"/>
      <sheetData sheetId="5">
        <row r="20">
          <cell r="D20">
            <v>303100</v>
          </cell>
        </row>
      </sheetData>
      <sheetData sheetId="6">
        <row r="20">
          <cell r="D20">
            <v>75800</v>
          </cell>
        </row>
      </sheetData>
      <sheetData sheetId="7">
        <row r="26">
          <cell r="C26">
            <v>1359.4285714285713</v>
          </cell>
        </row>
      </sheetData>
      <sheetData sheetId="8">
        <row r="16">
          <cell r="D16">
            <v>158</v>
          </cell>
        </row>
      </sheetData>
      <sheetData sheetId="9">
        <row r="29">
          <cell r="D29">
            <v>350</v>
          </cell>
        </row>
      </sheetData>
      <sheetData sheetId="10">
        <row r="26">
          <cell r="D26">
            <v>1030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10.189603432901711</v>
          </cell>
        </row>
      </sheetData>
      <sheetData sheetId="1"/>
      <sheetData sheetId="2"/>
      <sheetData sheetId="3">
        <row r="172">
          <cell r="H172">
            <v>2841.5156893051421</v>
          </cell>
        </row>
        <row r="194">
          <cell r="H194">
            <v>0.1778296077326286</v>
          </cell>
        </row>
      </sheetData>
      <sheetData sheetId="4"/>
      <sheetData sheetId="5">
        <row r="20">
          <cell r="D20">
            <v>301300</v>
          </cell>
        </row>
      </sheetData>
      <sheetData sheetId="6">
        <row r="20">
          <cell r="D20">
            <v>74980</v>
          </cell>
        </row>
      </sheetData>
      <sheetData sheetId="7">
        <row r="26">
          <cell r="C26">
            <v>1369.4</v>
          </cell>
        </row>
      </sheetData>
      <sheetData sheetId="8">
        <row r="16">
          <cell r="D16">
            <v>157.5</v>
          </cell>
        </row>
      </sheetData>
      <sheetData sheetId="9">
        <row r="29">
          <cell r="D29">
            <v>356</v>
          </cell>
        </row>
      </sheetData>
      <sheetData sheetId="10">
        <row r="26">
          <cell r="D26">
            <v>1030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10.189603432901711</v>
          </cell>
        </row>
      </sheetData>
      <sheetData sheetId="1"/>
      <sheetData sheetId="2"/>
      <sheetData sheetId="3">
        <row r="172">
          <cell r="H172">
            <v>2847.2900591422563</v>
          </cell>
        </row>
        <row r="194">
          <cell r="H194">
            <v>0.17896771722211741</v>
          </cell>
        </row>
      </sheetData>
      <sheetData sheetId="4"/>
      <sheetData sheetId="5">
        <row r="20">
          <cell r="D20">
            <v>300900</v>
          </cell>
        </row>
      </sheetData>
      <sheetData sheetId="6">
        <row r="20">
          <cell r="D20">
            <v>76460</v>
          </cell>
        </row>
      </sheetData>
      <sheetData sheetId="7">
        <row r="26">
          <cell r="C26">
            <v>1362</v>
          </cell>
        </row>
      </sheetData>
      <sheetData sheetId="8">
        <row r="16">
          <cell r="D16">
            <v>160</v>
          </cell>
        </row>
      </sheetData>
      <sheetData sheetId="9">
        <row r="29">
          <cell r="D29">
            <v>354</v>
          </cell>
        </row>
      </sheetData>
      <sheetData sheetId="10">
        <row r="26">
          <cell r="D26">
            <v>1030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10.189603432901711</v>
          </cell>
        </row>
      </sheetData>
      <sheetData sheetId="1"/>
      <sheetData sheetId="2"/>
      <sheetData sheetId="3">
        <row r="134">
          <cell r="H134">
            <v>2842.9876113215555</v>
          </cell>
        </row>
        <row r="150">
          <cell r="H150">
            <v>0.17954041391722819</v>
          </cell>
        </row>
      </sheetData>
      <sheetData sheetId="4"/>
      <sheetData sheetId="5"/>
      <sheetData sheetId="6">
        <row r="20">
          <cell r="D20">
            <v>300860</v>
          </cell>
        </row>
      </sheetData>
      <sheetData sheetId="7">
        <row r="20">
          <cell r="D20">
            <v>75800</v>
          </cell>
        </row>
      </sheetData>
      <sheetData sheetId="8">
        <row r="26">
          <cell r="C26">
            <v>1372.8</v>
          </cell>
        </row>
      </sheetData>
      <sheetData sheetId="9">
        <row r="16">
          <cell r="D16">
            <v>162.5</v>
          </cell>
        </row>
      </sheetData>
      <sheetData sheetId="10">
        <row r="29">
          <cell r="D29">
            <v>361.5</v>
          </cell>
        </row>
      </sheetData>
      <sheetData sheetId="11">
        <row r="26">
          <cell r="D26">
            <v>1030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689.40940258436126</v>
          </cell>
        </row>
      </sheetData>
      <sheetData sheetId="3">
        <row r="8">
          <cell r="E8">
            <v>546.45942711821795</v>
          </cell>
        </row>
      </sheetData>
      <sheetData sheetId="4"/>
      <sheetData sheetId="5">
        <row r="8">
          <cell r="E8">
            <v>142.94997546614337</v>
          </cell>
        </row>
      </sheetData>
      <sheetData sheetId="6"/>
      <sheetData sheetId="7">
        <row r="27">
          <cell r="H27">
            <v>211207.75</v>
          </cell>
        </row>
      </sheetData>
      <sheetData sheetId="8">
        <row r="28">
          <cell r="H28">
            <v>111993.2</v>
          </cell>
        </row>
      </sheetData>
      <sheetData sheetId="9">
        <row r="5">
          <cell r="I5">
            <v>403.96287303972281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2.1991999999999998</v>
          </cell>
        </row>
      </sheetData>
      <sheetData sheetId="21"/>
      <sheetData sheetId="22"/>
      <sheetData sheetId="23">
        <row r="9">
          <cell r="D9">
            <v>4.0980000000000008</v>
          </cell>
        </row>
      </sheetData>
      <sheetData sheetId="24"/>
      <sheetData sheetId="25"/>
      <sheetData sheetId="26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10.189603432901711</v>
          </cell>
        </row>
      </sheetData>
      <sheetData sheetId="1"/>
      <sheetData sheetId="2"/>
      <sheetData sheetId="3">
        <row r="134">
          <cell r="H134">
            <v>2846.7916660648316</v>
          </cell>
        </row>
        <row r="150">
          <cell r="H150">
            <v>0.17989949474506264</v>
          </cell>
        </row>
      </sheetData>
      <sheetData sheetId="4"/>
      <sheetData sheetId="5"/>
      <sheetData sheetId="6">
        <row r="20">
          <cell r="D20">
            <v>301360</v>
          </cell>
        </row>
      </sheetData>
      <sheetData sheetId="7">
        <row r="20">
          <cell r="D20">
            <v>75775</v>
          </cell>
        </row>
      </sheetData>
      <sheetData sheetId="8">
        <row r="26">
          <cell r="C26">
            <v>1385.6666666666667</v>
          </cell>
        </row>
      </sheetData>
      <sheetData sheetId="9">
        <row r="16">
          <cell r="D16">
            <v>160</v>
          </cell>
        </row>
      </sheetData>
      <sheetData sheetId="10">
        <row r="29">
          <cell r="D29">
            <v>361.5</v>
          </cell>
        </row>
      </sheetData>
      <sheetData sheetId="11">
        <row r="26">
          <cell r="D26">
            <v>1030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10.428772136786147</v>
          </cell>
        </row>
      </sheetData>
      <sheetData sheetId="1"/>
      <sheetData sheetId="2"/>
      <sheetData sheetId="3">
        <row r="134">
          <cell r="H134">
            <v>2858.33545176813</v>
          </cell>
        </row>
        <row r="150">
          <cell r="H150">
            <v>0.17962964550294505</v>
          </cell>
        </row>
      </sheetData>
      <sheetData sheetId="4"/>
      <sheetData sheetId="5"/>
      <sheetData sheetId="6">
        <row r="20">
          <cell r="D20">
            <v>301760</v>
          </cell>
        </row>
      </sheetData>
      <sheetData sheetId="7">
        <row r="20">
          <cell r="D20">
            <v>77162.5</v>
          </cell>
        </row>
      </sheetData>
      <sheetData sheetId="8">
        <row r="26">
          <cell r="C26">
            <v>1381.8571428571429</v>
          </cell>
        </row>
      </sheetData>
      <sheetData sheetId="9">
        <row r="16">
          <cell r="D16">
            <v>162</v>
          </cell>
        </row>
      </sheetData>
      <sheetData sheetId="10">
        <row r="29">
          <cell r="D29">
            <v>364</v>
          </cell>
        </row>
      </sheetData>
      <sheetData sheetId="11">
        <row r="26">
          <cell r="D26">
            <v>1030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10.428772136786147</v>
          </cell>
        </row>
      </sheetData>
      <sheetData sheetId="1"/>
      <sheetData sheetId="2"/>
      <sheetData sheetId="3">
        <row r="134">
          <cell r="H134">
            <v>2850.3148621793302</v>
          </cell>
        </row>
        <row r="150">
          <cell r="H150">
            <v>0.18070742337596271</v>
          </cell>
        </row>
      </sheetData>
      <sheetData sheetId="4"/>
      <sheetData sheetId="5"/>
      <sheetData sheetId="6">
        <row r="20">
          <cell r="D20">
            <v>301500</v>
          </cell>
        </row>
      </sheetData>
      <sheetData sheetId="7">
        <row r="20">
          <cell r="D20">
            <v>76175</v>
          </cell>
        </row>
      </sheetData>
      <sheetData sheetId="8">
        <row r="26">
          <cell r="C26">
            <v>1388.2857142857142</v>
          </cell>
        </row>
      </sheetData>
      <sheetData sheetId="9">
        <row r="16">
          <cell r="D16">
            <v>163</v>
          </cell>
        </row>
      </sheetData>
      <sheetData sheetId="10">
        <row r="29">
          <cell r="D29">
            <v>368</v>
          </cell>
        </row>
      </sheetData>
      <sheetData sheetId="11">
        <row r="26">
          <cell r="D26">
            <v>1030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10.549469260468051</v>
          </cell>
        </row>
      </sheetData>
      <sheetData sheetId="1"/>
      <sheetData sheetId="2"/>
      <sheetData sheetId="3">
        <row r="134">
          <cell r="H134">
            <v>2849.9193580515234</v>
          </cell>
        </row>
        <row r="150">
          <cell r="H150">
            <v>0.18146639455414176</v>
          </cell>
        </row>
      </sheetData>
      <sheetData sheetId="4"/>
      <sheetData sheetId="5"/>
      <sheetData sheetId="6">
        <row r="20">
          <cell r="D20">
            <v>301450</v>
          </cell>
        </row>
      </sheetData>
      <sheetData sheetId="7">
        <row r="20">
          <cell r="D20">
            <v>76175</v>
          </cell>
        </row>
      </sheetData>
      <sheetData sheetId="8">
        <row r="26">
          <cell r="C26">
            <v>1377</v>
          </cell>
        </row>
      </sheetData>
      <sheetData sheetId="9">
        <row r="16">
          <cell r="D16">
            <v>164</v>
          </cell>
        </row>
      </sheetData>
      <sheetData sheetId="10">
        <row r="29">
          <cell r="D29">
            <v>370.5</v>
          </cell>
        </row>
      </sheetData>
      <sheetData sheetId="11">
        <row r="26">
          <cell r="D26">
            <v>1033.3333333333333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10.549469260468051</v>
          </cell>
        </row>
      </sheetData>
      <sheetData sheetId="1"/>
      <sheetData sheetId="2"/>
      <sheetData sheetId="3">
        <row r="134">
          <cell r="H134">
            <v>2855.56420016231</v>
          </cell>
        </row>
        <row r="150">
          <cell r="H150">
            <v>0.18188376726161629</v>
          </cell>
        </row>
      </sheetData>
      <sheetData sheetId="4"/>
      <sheetData sheetId="5"/>
      <sheetData sheetId="6">
        <row r="20">
          <cell r="D20">
            <v>302100</v>
          </cell>
        </row>
      </sheetData>
      <sheetData sheetId="7">
        <row r="20">
          <cell r="D20">
            <v>76258.333333333328</v>
          </cell>
        </row>
      </sheetData>
      <sheetData sheetId="8">
        <row r="26">
          <cell r="C26">
            <v>1398</v>
          </cell>
        </row>
      </sheetData>
      <sheetData sheetId="9">
        <row r="16">
          <cell r="D16">
            <v>168</v>
          </cell>
        </row>
      </sheetData>
      <sheetData sheetId="10">
        <row r="29">
          <cell r="D29">
            <v>375.5</v>
          </cell>
        </row>
      </sheetData>
      <sheetData sheetId="11">
        <row r="26">
          <cell r="D26">
            <v>1033.3333333333333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10.550092902656399</v>
          </cell>
        </row>
      </sheetData>
      <sheetData sheetId="1"/>
      <sheetData sheetId="2"/>
      <sheetData sheetId="3">
        <row r="134">
          <cell r="H134">
            <v>2859.2315216340635</v>
          </cell>
        </row>
        <row r="150">
          <cell r="H150">
            <v>0.18202927427542556</v>
          </cell>
        </row>
      </sheetData>
      <sheetData sheetId="4"/>
      <sheetData sheetId="5"/>
      <sheetData sheetId="6">
        <row r="20">
          <cell r="D20">
            <v>302500</v>
          </cell>
        </row>
      </sheetData>
      <sheetData sheetId="7">
        <row r="20">
          <cell r="D20">
            <v>76341.666666666672</v>
          </cell>
        </row>
      </sheetData>
      <sheetData sheetId="8">
        <row r="26">
          <cell r="C26">
            <v>1403</v>
          </cell>
        </row>
      </sheetData>
      <sheetData sheetId="9">
        <row r="16">
          <cell r="D16">
            <v>168.6</v>
          </cell>
        </row>
      </sheetData>
      <sheetData sheetId="10">
        <row r="29">
          <cell r="D29">
            <v>378</v>
          </cell>
        </row>
      </sheetData>
      <sheetData sheetId="11">
        <row r="26">
          <cell r="D26">
            <v>1033.3333333333333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10.550092902656399</v>
          </cell>
        </row>
      </sheetData>
      <sheetData sheetId="1"/>
      <sheetData sheetId="2"/>
      <sheetData sheetId="3">
        <row r="134">
          <cell r="H134">
            <v>2866.278444771257</v>
          </cell>
        </row>
        <row r="150">
          <cell r="H150">
            <v>0.18232052111426625</v>
          </cell>
        </row>
      </sheetData>
      <sheetData sheetId="4"/>
      <sheetData sheetId="5"/>
      <sheetData sheetId="6">
        <row r="20">
          <cell r="D20">
            <v>303200</v>
          </cell>
        </row>
      </sheetData>
      <sheetData sheetId="7">
        <row r="20">
          <cell r="D20">
            <v>76591.666666666672</v>
          </cell>
        </row>
      </sheetData>
      <sheetData sheetId="8">
        <row r="26">
          <cell r="C26">
            <v>1404.2857142857142</v>
          </cell>
        </row>
      </sheetData>
      <sheetData sheetId="9">
        <row r="16">
          <cell r="D16">
            <v>171</v>
          </cell>
        </row>
      </sheetData>
      <sheetData sheetId="10">
        <row r="29">
          <cell r="D29">
            <v>381</v>
          </cell>
        </row>
      </sheetData>
      <sheetData sheetId="11">
        <row r="26">
          <cell r="D26">
            <v>1033.3333333333333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10.550092902656399</v>
          </cell>
        </row>
      </sheetData>
      <sheetData sheetId="1"/>
      <sheetData sheetId="2"/>
      <sheetData sheetId="3">
        <row r="134">
          <cell r="H134">
            <v>2869.8664884480499</v>
          </cell>
        </row>
        <row r="150">
          <cell r="H150">
            <v>0.18275809036494048</v>
          </cell>
        </row>
      </sheetData>
      <sheetData sheetId="4"/>
      <sheetData sheetId="5"/>
      <sheetData sheetId="6">
        <row r="20">
          <cell r="D20">
            <v>303450</v>
          </cell>
        </row>
      </sheetData>
      <sheetData sheetId="7">
        <row r="21">
          <cell r="D21">
            <v>76858.333333333328</v>
          </cell>
        </row>
      </sheetData>
      <sheetData sheetId="8">
        <row r="26">
          <cell r="C26">
            <v>1420</v>
          </cell>
        </row>
      </sheetData>
      <sheetData sheetId="9">
        <row r="16">
          <cell r="D16">
            <v>178</v>
          </cell>
        </row>
      </sheetData>
      <sheetData sheetId="10">
        <row r="29">
          <cell r="D29">
            <v>383.4</v>
          </cell>
        </row>
      </sheetData>
      <sheetData sheetId="11">
        <row r="26">
          <cell r="D26">
            <v>1033.3333333333333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10.552710220535825</v>
          </cell>
        </row>
      </sheetData>
      <sheetData sheetId="1"/>
      <sheetData sheetId="2"/>
      <sheetData sheetId="3">
        <row r="134">
          <cell r="H134">
            <v>2875.8707591049797</v>
          </cell>
        </row>
        <row r="150">
          <cell r="H150">
            <v>0.18343429529929076</v>
          </cell>
        </row>
      </sheetData>
      <sheetData sheetId="4"/>
      <sheetData sheetId="5"/>
      <sheetData sheetId="6">
        <row r="20">
          <cell r="D20">
            <v>304050</v>
          </cell>
        </row>
      </sheetData>
      <sheetData sheetId="7">
        <row r="21">
          <cell r="D21">
            <v>77066.666666666672</v>
          </cell>
        </row>
      </sheetData>
      <sheetData sheetId="8">
        <row r="26">
          <cell r="C26">
            <v>1422.4285714285713</v>
          </cell>
        </row>
      </sheetData>
      <sheetData sheetId="9">
        <row r="16">
          <cell r="D16">
            <v>174.6</v>
          </cell>
        </row>
      </sheetData>
      <sheetData sheetId="10">
        <row r="29">
          <cell r="D29">
            <v>389.33333333333331</v>
          </cell>
        </row>
      </sheetData>
      <sheetData sheetId="11">
        <row r="26">
          <cell r="D26">
            <v>1033.3333333333333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10.567096435816453</v>
          </cell>
        </row>
      </sheetData>
      <sheetData sheetId="1"/>
      <sheetData sheetId="2"/>
      <sheetData sheetId="3">
        <row r="134">
          <cell r="H134">
            <v>2882.5943292776933</v>
          </cell>
        </row>
        <row r="150">
          <cell r="H150">
            <v>0.18387453760800904</v>
          </cell>
        </row>
      </sheetData>
      <sheetData sheetId="4"/>
      <sheetData sheetId="5"/>
      <sheetData sheetId="6">
        <row r="20">
          <cell r="D20">
            <v>304900</v>
          </cell>
        </row>
      </sheetData>
      <sheetData sheetId="7">
        <row r="21">
          <cell r="D21">
            <v>77066.666666666672</v>
          </cell>
        </row>
      </sheetData>
      <sheetData sheetId="8">
        <row r="26">
          <cell r="C26">
            <v>1422.4285714285713</v>
          </cell>
        </row>
      </sheetData>
      <sheetData sheetId="9">
        <row r="16">
          <cell r="D16">
            <v>174.6</v>
          </cell>
        </row>
      </sheetData>
      <sheetData sheetId="10">
        <row r="29">
          <cell r="D29">
            <v>389.33333333333331</v>
          </cell>
        </row>
      </sheetData>
      <sheetData sheetId="11">
        <row r="26">
          <cell r="D26">
            <v>1083.3333333333333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690.95272431103353</v>
          </cell>
        </row>
      </sheetData>
      <sheetData sheetId="3">
        <row r="8">
          <cell r="E8">
            <v>547.38425637326282</v>
          </cell>
        </row>
      </sheetData>
      <sheetData sheetId="4"/>
      <sheetData sheetId="5">
        <row r="8">
          <cell r="E8">
            <v>143.56846793777075</v>
          </cell>
        </row>
      </sheetData>
      <sheetData sheetId="6"/>
      <sheetData sheetId="7">
        <row r="27">
          <cell r="H27">
            <v>211507.75</v>
          </cell>
        </row>
      </sheetData>
      <sheetData sheetId="8">
        <row r="28">
          <cell r="H28">
            <v>112053.2</v>
          </cell>
        </row>
      </sheetData>
      <sheetData sheetId="9">
        <row r="5">
          <cell r="I5">
            <v>403.96287303972281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2.2429999999999999</v>
          </cell>
        </row>
      </sheetData>
      <sheetData sheetId="21"/>
      <sheetData sheetId="22"/>
      <sheetData sheetId="23">
        <row r="9">
          <cell r="D9">
            <v>4.0980000000000008</v>
          </cell>
        </row>
      </sheetData>
      <sheetData sheetId="24"/>
      <sheetData sheetId="25"/>
      <sheetData sheetId="26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10.567096435816453</v>
          </cell>
        </row>
      </sheetData>
      <sheetData sheetId="1"/>
      <sheetData sheetId="2"/>
      <sheetData sheetId="3">
        <row r="134">
          <cell r="H134">
            <v>2879.4302962552401</v>
          </cell>
        </row>
        <row r="150">
          <cell r="H150">
            <v>0.1854190837239163</v>
          </cell>
        </row>
      </sheetData>
      <sheetData sheetId="4"/>
      <sheetData sheetId="5"/>
      <sheetData sheetId="6">
        <row r="20">
          <cell r="D20">
            <v>304500</v>
          </cell>
        </row>
      </sheetData>
      <sheetData sheetId="7">
        <row r="21">
          <cell r="D21">
            <v>77066.666666666672</v>
          </cell>
        </row>
      </sheetData>
      <sheetData sheetId="8">
        <row r="26">
          <cell r="C26">
            <v>1458.5</v>
          </cell>
        </row>
      </sheetData>
      <sheetData sheetId="9">
        <row r="16">
          <cell r="D16">
            <v>234.596</v>
          </cell>
        </row>
      </sheetData>
      <sheetData sheetId="10">
        <row r="29">
          <cell r="D29">
            <v>385.16666666666669</v>
          </cell>
        </row>
      </sheetData>
      <sheetData sheetId="11">
        <row r="26">
          <cell r="D26">
            <v>1083.3333333333333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10.567096435816453</v>
          </cell>
        </row>
      </sheetData>
      <sheetData sheetId="1"/>
      <sheetData sheetId="2"/>
      <sheetData sheetId="3">
        <row r="134">
          <cell r="H134">
            <v>2920.1407359925674</v>
          </cell>
        </row>
        <row r="150">
          <cell r="H150">
            <v>0.18671701730998369</v>
          </cell>
        </row>
      </sheetData>
      <sheetData sheetId="4"/>
      <sheetData sheetId="5"/>
      <sheetData sheetId="6">
        <row r="20">
          <cell r="D20">
            <v>308491.2</v>
          </cell>
        </row>
      </sheetData>
      <sheetData sheetId="7">
        <row r="21">
          <cell r="D21">
            <v>78580</v>
          </cell>
        </row>
      </sheetData>
      <sheetData sheetId="8">
        <row r="26">
          <cell r="C26">
            <v>1487.405</v>
          </cell>
        </row>
      </sheetData>
      <sheetData sheetId="9">
        <row r="16">
          <cell r="D16">
            <v>308.5</v>
          </cell>
        </row>
      </sheetData>
      <sheetData sheetId="10">
        <row r="29">
          <cell r="D29">
            <v>385.33333333333331</v>
          </cell>
        </row>
      </sheetData>
      <sheetData sheetId="11">
        <row r="26">
          <cell r="D26">
            <v>1083.3333333333333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10.567096435816453</v>
          </cell>
        </row>
      </sheetData>
      <sheetData sheetId="1"/>
      <sheetData sheetId="2"/>
      <sheetData sheetId="3">
        <row r="134">
          <cell r="H134">
            <v>2952.539484430245</v>
          </cell>
        </row>
        <row r="150">
          <cell r="H150">
            <v>0.1880427081328846</v>
          </cell>
        </row>
      </sheetData>
      <sheetData sheetId="4"/>
      <sheetData sheetId="5"/>
      <sheetData sheetId="6">
        <row r="20">
          <cell r="D20">
            <v>313656</v>
          </cell>
        </row>
      </sheetData>
      <sheetData sheetId="7">
        <row r="21">
          <cell r="D21">
            <v>77180</v>
          </cell>
        </row>
      </sheetData>
      <sheetData sheetId="8">
        <row r="26">
          <cell r="C26">
            <v>1456.3333333333333</v>
          </cell>
        </row>
      </sheetData>
      <sheetData sheetId="9">
        <row r="16">
          <cell r="D16">
            <v>308.5</v>
          </cell>
        </row>
      </sheetData>
      <sheetData sheetId="10">
        <row r="29">
          <cell r="D29">
            <v>352.41499999999996</v>
          </cell>
        </row>
      </sheetData>
      <sheetData sheetId="11">
        <row r="26">
          <cell r="D26">
            <v>1083.3333333333333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10.841752294708339</v>
          </cell>
        </row>
      </sheetData>
      <sheetData sheetId="1"/>
      <sheetData sheetId="2"/>
      <sheetData sheetId="3">
        <row r="134">
          <cell r="H134">
            <v>2952.539484430245</v>
          </cell>
        </row>
        <row r="150">
          <cell r="H150">
            <v>0.18941541990225466</v>
          </cell>
        </row>
      </sheetData>
      <sheetData sheetId="4"/>
      <sheetData sheetId="5"/>
      <sheetData sheetId="6">
        <row r="20">
          <cell r="D20">
            <v>313656</v>
          </cell>
        </row>
      </sheetData>
      <sheetData sheetId="7">
        <row r="21">
          <cell r="D21">
            <v>77180</v>
          </cell>
        </row>
      </sheetData>
      <sheetData sheetId="8">
        <row r="26">
          <cell r="C26">
            <v>1446.3333333333333</v>
          </cell>
        </row>
      </sheetData>
      <sheetData sheetId="9">
        <row r="16">
          <cell r="D16">
            <v>308.5</v>
          </cell>
        </row>
      </sheetData>
      <sheetData sheetId="10">
        <row r="29">
          <cell r="D29">
            <v>380.33166666666665</v>
          </cell>
        </row>
      </sheetData>
      <sheetData sheetId="11">
        <row r="26">
          <cell r="D26">
            <v>1070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10.841752294708339</v>
          </cell>
        </row>
      </sheetData>
      <sheetData sheetId="1"/>
      <sheetData sheetId="2"/>
      <sheetData sheetId="3">
        <row r="134">
          <cell r="H134">
            <v>2968.9418316186429</v>
          </cell>
        </row>
        <row r="150">
          <cell r="H150">
            <v>0.19022990620783434</v>
          </cell>
        </row>
      </sheetData>
      <sheetData sheetId="4"/>
      <sheetData sheetId="5"/>
      <sheetData sheetId="6">
        <row r="20">
          <cell r="D20">
            <v>315729.59999999998</v>
          </cell>
        </row>
      </sheetData>
      <sheetData sheetId="7">
        <row r="21">
          <cell r="D21">
            <v>77180</v>
          </cell>
        </row>
      </sheetData>
      <sheetData sheetId="8">
        <row r="26">
          <cell r="C26">
            <v>1492.8116666666667</v>
          </cell>
        </row>
      </sheetData>
      <sheetData sheetId="9">
        <row r="16">
          <cell r="D16">
            <v>308.5</v>
          </cell>
        </row>
      </sheetData>
      <sheetData sheetId="10">
        <row r="29">
          <cell r="D29">
            <v>394.79833333333335</v>
          </cell>
        </row>
      </sheetData>
      <sheetData sheetId="11">
        <row r="26">
          <cell r="D26">
            <v>1070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11.008866091970766</v>
          </cell>
        </row>
      </sheetData>
      <sheetData sheetId="1"/>
      <sheetData sheetId="2"/>
      <sheetData sheetId="3">
        <row r="134">
          <cell r="H134">
            <v>2971.2195713434749</v>
          </cell>
        </row>
        <row r="150">
          <cell r="H150">
            <v>0.19002065331100573</v>
          </cell>
        </row>
      </sheetData>
      <sheetData sheetId="4"/>
      <sheetData sheetId="5"/>
      <sheetData sheetId="6">
        <row r="20">
          <cell r="D20">
            <v>315729.59999999998</v>
          </cell>
        </row>
      </sheetData>
      <sheetData sheetId="7">
        <row r="21">
          <cell r="D21">
            <v>77557.142857142855</v>
          </cell>
        </row>
      </sheetData>
      <sheetData sheetId="8">
        <row r="26">
          <cell r="C26">
            <v>1510.8683333333336</v>
          </cell>
        </row>
      </sheetData>
      <sheetData sheetId="9">
        <row r="16">
          <cell r="D16">
            <v>312</v>
          </cell>
        </row>
      </sheetData>
      <sheetData sheetId="10">
        <row r="29">
          <cell r="D29">
            <v>394.79833333333335</v>
          </cell>
        </row>
      </sheetData>
      <sheetData sheetId="11">
        <row r="26">
          <cell r="D26">
            <v>1070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11.008866091970766</v>
          </cell>
        </row>
      </sheetData>
      <sheetData sheetId="1"/>
      <sheetData sheetId="2"/>
      <sheetData sheetId="3">
        <row r="134">
          <cell r="H134">
            <v>2961.936677675737</v>
          </cell>
        </row>
        <row r="150">
          <cell r="H150">
            <v>0.18988763885368803</v>
          </cell>
        </row>
      </sheetData>
      <sheetData sheetId="4"/>
      <sheetData sheetId="5"/>
      <sheetData sheetId="6">
        <row r="20">
          <cell r="D20">
            <v>314856</v>
          </cell>
        </row>
      </sheetData>
      <sheetData sheetId="7">
        <row r="21">
          <cell r="D21">
            <v>77164.28571428571</v>
          </cell>
        </row>
      </sheetData>
      <sheetData sheetId="8">
        <row r="26">
          <cell r="C26">
            <v>1515.6949999999999</v>
          </cell>
        </row>
      </sheetData>
      <sheetData sheetId="9">
        <row r="16">
          <cell r="D16">
            <v>312</v>
          </cell>
        </row>
      </sheetData>
      <sheetData sheetId="10">
        <row r="29">
          <cell r="D29">
            <v>398.24833333333328</v>
          </cell>
        </row>
      </sheetData>
      <sheetData sheetId="11">
        <row r="26">
          <cell r="D26">
            <v>1070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11.008866091970766</v>
          </cell>
        </row>
      </sheetData>
      <sheetData sheetId="1"/>
      <sheetData sheetId="2"/>
      <sheetData sheetId="3">
        <row r="134">
          <cell r="H134">
            <v>2933.7388153796333</v>
          </cell>
        </row>
        <row r="150">
          <cell r="H150">
            <v>0.18975471750649045</v>
          </cell>
        </row>
      </sheetData>
      <sheetData sheetId="4"/>
      <sheetData sheetId="5"/>
      <sheetData sheetId="6">
        <row r="20">
          <cell r="D20">
            <v>311291.2</v>
          </cell>
        </row>
      </sheetData>
      <sheetData sheetId="7">
        <row r="21">
          <cell r="D21">
            <v>77164.28571428571</v>
          </cell>
        </row>
      </sheetData>
      <sheetData sheetId="8">
        <row r="26">
          <cell r="C26">
            <v>1521.1000000000001</v>
          </cell>
        </row>
      </sheetData>
      <sheetData sheetId="9">
        <row r="16">
          <cell r="D16">
            <v>312</v>
          </cell>
        </row>
      </sheetData>
      <sheetData sheetId="10">
        <row r="29">
          <cell r="D29">
            <v>398.24833333333328</v>
          </cell>
        </row>
      </sheetData>
      <sheetData sheetId="11">
        <row r="26">
          <cell r="D26">
            <v>1070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11.008866091970766</v>
          </cell>
        </row>
      </sheetData>
      <sheetData sheetId="1"/>
      <sheetData sheetId="2"/>
      <sheetData sheetId="3">
        <row r="134">
          <cell r="H134">
            <v>2986.9705069493875</v>
          </cell>
        </row>
        <row r="150">
          <cell r="H150">
            <v>0.1907793929810255</v>
          </cell>
        </row>
      </sheetData>
      <sheetData sheetId="4"/>
      <sheetData sheetId="5"/>
      <sheetData sheetId="6">
        <row r="20">
          <cell r="D20">
            <v>318020.8</v>
          </cell>
        </row>
      </sheetData>
      <sheetData sheetId="7">
        <row r="21">
          <cell r="D21">
            <v>77164.28571428571</v>
          </cell>
        </row>
      </sheetData>
      <sheetData sheetId="8">
        <row r="26">
          <cell r="C26">
            <v>1598.2366666666667</v>
          </cell>
        </row>
      </sheetData>
      <sheetData sheetId="9">
        <row r="16">
          <cell r="D16">
            <v>312</v>
          </cell>
        </row>
      </sheetData>
      <sheetData sheetId="10">
        <row r="29">
          <cell r="D29">
            <v>398.24833333333328</v>
          </cell>
        </row>
      </sheetData>
      <sheetData sheetId="11">
        <row r="26">
          <cell r="D26">
            <v>1083.3333333333333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11.008866091970766</v>
          </cell>
        </row>
      </sheetData>
      <sheetData sheetId="1"/>
      <sheetData sheetId="2"/>
      <sheetData sheetId="3">
        <row r="134">
          <cell r="H134">
            <v>2986.9705069493875</v>
          </cell>
        </row>
        <row r="150">
          <cell r="H150">
            <v>0.19253456339645095</v>
          </cell>
        </row>
      </sheetData>
      <sheetData sheetId="4"/>
      <sheetData sheetId="5"/>
      <sheetData sheetId="6">
        <row r="20">
          <cell r="D20">
            <v>318020.8</v>
          </cell>
        </row>
      </sheetData>
      <sheetData sheetId="7">
        <row r="21">
          <cell r="D21">
            <v>77164.28571428571</v>
          </cell>
        </row>
      </sheetData>
      <sheetData sheetId="8">
        <row r="26">
          <cell r="C26">
            <v>1599.345</v>
          </cell>
        </row>
      </sheetData>
      <sheetData sheetId="9">
        <row r="16">
          <cell r="D16">
            <v>312</v>
          </cell>
        </row>
      </sheetData>
      <sheetData sheetId="10">
        <row r="29">
          <cell r="D29">
            <v>399.25</v>
          </cell>
        </row>
      </sheetData>
      <sheetData sheetId="11">
        <row r="26">
          <cell r="D26">
            <v>1083.3333333333333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692.33625303259248</v>
          </cell>
        </row>
      </sheetData>
      <sheetData sheetId="3">
        <row r="8">
          <cell r="E8">
            <v>547.91167316132442</v>
          </cell>
        </row>
      </sheetData>
      <sheetData sheetId="4"/>
      <sheetData sheetId="5">
        <row r="8">
          <cell r="E8">
            <v>144.42457987126807</v>
          </cell>
        </row>
      </sheetData>
      <sheetData sheetId="6"/>
      <sheetData sheetId="7">
        <row r="27">
          <cell r="H27">
            <v>209507.75</v>
          </cell>
        </row>
      </sheetData>
      <sheetData sheetId="8">
        <row r="28">
          <cell r="H28">
            <v>113453.2</v>
          </cell>
        </row>
      </sheetData>
      <sheetData sheetId="9">
        <row r="5">
          <cell r="I5">
            <v>403.96287303972281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2.3359999999999999</v>
          </cell>
        </row>
      </sheetData>
      <sheetData sheetId="21"/>
      <sheetData sheetId="22"/>
      <sheetData sheetId="23">
        <row r="9">
          <cell r="D9">
            <v>4.0980000000000008</v>
          </cell>
        </row>
      </sheetData>
      <sheetData sheetId="24"/>
      <sheetData sheetId="25"/>
      <sheetData sheetId="26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11.008866091970766</v>
          </cell>
        </row>
      </sheetData>
      <sheetData sheetId="1"/>
      <sheetData sheetId="2"/>
      <sheetData sheetId="3">
        <row r="134">
          <cell r="H134">
            <v>2993.2985729942948</v>
          </cell>
        </row>
        <row r="150">
          <cell r="H150">
            <v>0.19451766939943438</v>
          </cell>
        </row>
      </sheetData>
      <sheetData sheetId="4"/>
      <sheetData sheetId="5"/>
      <sheetData sheetId="6">
        <row r="20">
          <cell r="D20">
            <v>318820.8</v>
          </cell>
        </row>
      </sheetData>
      <sheetData sheetId="7">
        <row r="21">
          <cell r="D21">
            <v>77164.28571428571</v>
          </cell>
        </row>
      </sheetData>
      <sheetData sheetId="8">
        <row r="26">
          <cell r="C26">
            <v>1560.1416666666664</v>
          </cell>
        </row>
      </sheetData>
      <sheetData sheetId="9">
        <row r="16">
          <cell r="D16">
            <v>312</v>
          </cell>
        </row>
      </sheetData>
      <sheetData sheetId="10">
        <row r="29">
          <cell r="D29">
            <v>401.94</v>
          </cell>
        </row>
      </sheetData>
      <sheetData sheetId="11">
        <row r="26">
          <cell r="D26">
            <v>1083.3333333333333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11.008866091970766</v>
          </cell>
        </row>
      </sheetData>
      <sheetData sheetId="1"/>
      <sheetData sheetId="2"/>
      <sheetData sheetId="3">
        <row r="134">
          <cell r="H134">
            <v>2987.3349923431597</v>
          </cell>
        </row>
        <row r="150">
          <cell r="H150">
            <v>0.19568477541583099</v>
          </cell>
        </row>
      </sheetData>
      <sheetData sheetId="4"/>
      <sheetData sheetId="5"/>
      <sheetData sheetId="6">
        <row r="20">
          <cell r="D20">
            <v>317876</v>
          </cell>
        </row>
      </sheetData>
      <sheetData sheetId="7">
        <row r="21">
          <cell r="D21">
            <v>77414.28571428571</v>
          </cell>
        </row>
      </sheetData>
      <sheetData sheetId="8">
        <row r="26">
          <cell r="C26">
            <v>1533.0766666666668</v>
          </cell>
        </row>
      </sheetData>
      <sheetData sheetId="9">
        <row r="16">
          <cell r="D16">
            <v>312</v>
          </cell>
        </row>
      </sheetData>
      <sheetData sheetId="10">
        <row r="29">
          <cell r="D29">
            <v>405.87666666666672</v>
          </cell>
        </row>
      </sheetData>
      <sheetData sheetId="11">
        <row r="26">
          <cell r="D26">
            <v>1083.3333333333333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11.008866091970766</v>
          </cell>
        </row>
      </sheetData>
      <sheetData sheetId="1"/>
      <sheetData sheetId="2"/>
      <sheetData sheetId="3">
        <row r="134">
          <cell r="H134">
            <v>2987.3349923431597</v>
          </cell>
        </row>
        <row r="150">
          <cell r="H150">
            <v>0.19752421230473982</v>
          </cell>
        </row>
      </sheetData>
      <sheetData sheetId="4"/>
      <sheetData sheetId="5"/>
      <sheetData sheetId="6">
        <row r="20">
          <cell r="D20">
            <v>317876</v>
          </cell>
        </row>
      </sheetData>
      <sheetData sheetId="7">
        <row r="21">
          <cell r="D21">
            <v>77414.28571428571</v>
          </cell>
        </row>
      </sheetData>
      <sheetData sheetId="8">
        <row r="26">
          <cell r="C26">
            <v>1544.4916666666668</v>
          </cell>
        </row>
      </sheetData>
      <sheetData sheetId="9">
        <row r="16">
          <cell r="D16">
            <v>312</v>
          </cell>
        </row>
      </sheetData>
      <sheetData sheetId="10">
        <row r="29">
          <cell r="D29">
            <v>405.87666666666672</v>
          </cell>
        </row>
      </sheetData>
      <sheetData sheetId="11">
        <row r="26">
          <cell r="D26">
            <v>1083.3333333333333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11.008866091970766</v>
          </cell>
        </row>
      </sheetData>
      <sheetData sheetId="1"/>
      <sheetData sheetId="2"/>
      <sheetData sheetId="3">
        <row r="134">
          <cell r="H134">
            <v>3008.6633042167041</v>
          </cell>
        </row>
        <row r="150">
          <cell r="H150">
            <v>0.19859084305118543</v>
          </cell>
        </row>
      </sheetData>
      <sheetData sheetId="4"/>
      <sheetData sheetId="5"/>
      <sheetData sheetId="6">
        <row r="20">
          <cell r="D20">
            <v>320456</v>
          </cell>
        </row>
      </sheetData>
      <sheetData sheetId="7">
        <row r="21">
          <cell r="D21">
            <v>77566.666666666672</v>
          </cell>
        </row>
      </sheetData>
      <sheetData sheetId="8">
        <row r="26">
          <cell r="C26">
            <v>1654.6583333333335</v>
          </cell>
        </row>
      </sheetData>
      <sheetData sheetId="9">
        <row r="16">
          <cell r="D16">
            <v>312</v>
          </cell>
        </row>
      </sheetData>
      <sheetData sheetId="10">
        <row r="29">
          <cell r="D29">
            <v>405.87666666666672</v>
          </cell>
        </row>
      </sheetData>
      <sheetData sheetId="11">
        <row r="26">
          <cell r="D26">
            <v>1083.3333333333333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11.008866091970766</v>
          </cell>
        </row>
      </sheetData>
      <sheetData sheetId="1"/>
      <sheetData sheetId="2"/>
      <sheetData sheetId="3">
        <row r="134">
          <cell r="H134">
            <v>3018.7329148839899</v>
          </cell>
        </row>
        <row r="150">
          <cell r="H150">
            <v>0.19990154261532325</v>
          </cell>
        </row>
      </sheetData>
      <sheetData sheetId="4"/>
      <sheetData sheetId="5"/>
      <sheetData sheetId="6">
        <row r="20">
          <cell r="D20">
            <v>321220</v>
          </cell>
        </row>
      </sheetData>
      <sheetData sheetId="7">
        <row r="21">
          <cell r="D21">
            <v>78233.333333333328</v>
          </cell>
        </row>
      </sheetData>
      <sheetData sheetId="8">
        <row r="26">
          <cell r="C26">
            <v>1632.9916666666668</v>
          </cell>
        </row>
      </sheetData>
      <sheetData sheetId="9">
        <row r="16">
          <cell r="D16">
            <v>312</v>
          </cell>
        </row>
      </sheetData>
      <sheetData sheetId="10">
        <row r="29">
          <cell r="D29">
            <v>405.87666666666672</v>
          </cell>
        </row>
      </sheetData>
      <sheetData sheetId="11">
        <row r="26">
          <cell r="D26">
            <v>1083.3333333333333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11.37158852423641</v>
          </cell>
        </row>
      </sheetData>
      <sheetData sheetId="1"/>
      <sheetData sheetId="2"/>
      <sheetData sheetId="3">
        <row r="136">
          <cell r="H136">
            <v>3012.5630504902056</v>
          </cell>
        </row>
        <row r="152">
          <cell r="H152">
            <v>0.20134083372215361</v>
          </cell>
        </row>
      </sheetData>
      <sheetData sheetId="4"/>
      <sheetData sheetId="5"/>
      <sheetData sheetId="6">
        <row r="20">
          <cell r="D20">
            <v>320440</v>
          </cell>
        </row>
      </sheetData>
      <sheetData sheetId="7">
        <row r="21">
          <cell r="D21">
            <v>78233.333333333328</v>
          </cell>
        </row>
      </sheetData>
      <sheetData sheetId="8">
        <row r="26">
          <cell r="C26">
            <v>1648.78</v>
          </cell>
        </row>
      </sheetData>
      <sheetData sheetId="9">
        <row r="16">
          <cell r="D16">
            <v>312</v>
          </cell>
        </row>
      </sheetData>
      <sheetData sheetId="10">
        <row r="29">
          <cell r="D29">
            <v>405.87666666666672</v>
          </cell>
        </row>
      </sheetData>
      <sheetData sheetId="11">
        <row r="26">
          <cell r="D26">
            <v>1090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11.37158852423641</v>
          </cell>
        </row>
      </sheetData>
      <sheetData sheetId="1"/>
      <sheetData sheetId="2"/>
      <sheetData sheetId="3">
        <row r="136">
          <cell r="H136">
            <v>3012.5630504902056</v>
          </cell>
        </row>
        <row r="152">
          <cell r="H152">
            <v>0.20248847647436991</v>
          </cell>
        </row>
      </sheetData>
      <sheetData sheetId="4"/>
      <sheetData sheetId="5"/>
      <sheetData sheetId="6">
        <row r="20">
          <cell r="D20">
            <v>320440</v>
          </cell>
        </row>
      </sheetData>
      <sheetData sheetId="7">
        <row r="21">
          <cell r="D21">
            <v>78233.333333333328</v>
          </cell>
        </row>
      </sheetData>
      <sheetData sheetId="8">
        <row r="26">
          <cell r="C26">
            <v>1662.2633333333333</v>
          </cell>
        </row>
      </sheetData>
      <sheetData sheetId="9">
        <row r="16">
          <cell r="D16">
            <v>312</v>
          </cell>
        </row>
      </sheetData>
      <sheetData sheetId="10">
        <row r="29">
          <cell r="D29">
            <v>405.87666666666672</v>
          </cell>
        </row>
      </sheetData>
      <sheetData sheetId="11">
        <row r="26">
          <cell r="D26">
            <v>1090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Plan1"/>
    </sheetNames>
    <sheetDataSet>
      <sheetData sheetId="0">
        <row r="13">
          <cell r="C13">
            <v>11.37158852423641</v>
          </cell>
        </row>
      </sheetData>
      <sheetData sheetId="1"/>
      <sheetData sheetId="2"/>
      <sheetData sheetId="3">
        <row r="136">
          <cell r="H136">
            <v>3002.9127497717232</v>
          </cell>
        </row>
        <row r="152">
          <cell r="H152">
            <v>0.2029339511226135</v>
          </cell>
        </row>
      </sheetData>
      <sheetData sheetId="4"/>
      <sheetData sheetId="5"/>
      <sheetData sheetId="6">
        <row r="20">
          <cell r="D20">
            <v>319220</v>
          </cell>
        </row>
      </sheetData>
      <sheetData sheetId="7">
        <row r="21">
          <cell r="D21">
            <v>78233.333333333328</v>
          </cell>
        </row>
      </sheetData>
      <sheetData sheetId="8">
        <row r="26">
          <cell r="C26">
            <v>1657.2700000000002</v>
          </cell>
        </row>
      </sheetData>
      <sheetData sheetId="9">
        <row r="16">
          <cell r="D16">
            <v>312</v>
          </cell>
        </row>
      </sheetData>
      <sheetData sheetId="10">
        <row r="29">
          <cell r="D29">
            <v>406.08666666666664</v>
          </cell>
        </row>
      </sheetData>
      <sheetData sheetId="11">
        <row r="26">
          <cell r="D26">
            <v>1090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11.37158852423641</v>
          </cell>
        </row>
      </sheetData>
      <sheetData sheetId="1"/>
      <sheetData sheetId="2"/>
      <sheetData sheetId="3">
        <row r="136">
          <cell r="H136">
            <v>3015.4190802637577</v>
          </cell>
        </row>
        <row r="152">
          <cell r="H152">
            <v>0.2029339511226135</v>
          </cell>
        </row>
      </sheetData>
      <sheetData sheetId="4"/>
      <sheetData sheetId="5"/>
      <sheetData sheetId="6">
        <row r="20">
          <cell r="D20">
            <v>320164.8</v>
          </cell>
        </row>
      </sheetData>
      <sheetData sheetId="7">
        <row r="21">
          <cell r="D21">
            <v>79066.666666666672</v>
          </cell>
        </row>
      </sheetData>
      <sheetData sheetId="8">
        <row r="26">
          <cell r="C26">
            <v>1657.2700000000002</v>
          </cell>
        </row>
      </sheetData>
      <sheetData sheetId="9">
        <row r="16">
          <cell r="D16">
            <v>315</v>
          </cell>
        </row>
      </sheetData>
      <sheetData sheetId="10">
        <row r="29">
          <cell r="D29">
            <v>406.08666666666664</v>
          </cell>
        </row>
      </sheetData>
      <sheetData sheetId="11">
        <row r="26">
          <cell r="D26">
            <v>1090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11.629925159547604</v>
          </cell>
        </row>
      </sheetData>
      <sheetData sheetId="1"/>
      <sheetData sheetId="2"/>
      <sheetData sheetId="3">
        <row r="136">
          <cell r="H136">
            <v>3015.4190802637577</v>
          </cell>
        </row>
        <row r="152">
          <cell r="H152">
            <v>0.20378627371732846</v>
          </cell>
        </row>
      </sheetData>
      <sheetData sheetId="4"/>
      <sheetData sheetId="5"/>
      <sheetData sheetId="6">
        <row r="20">
          <cell r="D20">
            <v>320164.8</v>
          </cell>
        </row>
      </sheetData>
      <sheetData sheetId="7">
        <row r="21">
          <cell r="D21">
            <v>79066.666666666672</v>
          </cell>
        </row>
      </sheetData>
      <sheetData sheetId="8">
        <row r="26">
          <cell r="C26">
            <v>1657.2700000000002</v>
          </cell>
        </row>
      </sheetData>
      <sheetData sheetId="9">
        <row r="16">
          <cell r="D16">
            <v>315</v>
          </cell>
        </row>
      </sheetData>
      <sheetData sheetId="10">
        <row r="29">
          <cell r="D29">
            <v>406.08666666666664</v>
          </cell>
        </row>
      </sheetData>
      <sheetData sheetId="11">
        <row r="26">
          <cell r="D26">
            <v>1090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692.91463909471281</v>
          </cell>
        </row>
      </sheetData>
      <sheetData sheetId="3">
        <row r="8">
          <cell r="E8">
            <v>548.16748194605748</v>
          </cell>
        </row>
      </sheetData>
      <sheetData sheetId="4"/>
      <sheetData sheetId="5">
        <row r="8">
          <cell r="E8">
            <v>144.74715714865539</v>
          </cell>
        </row>
      </sheetData>
      <sheetData sheetId="6"/>
      <sheetData sheetId="7">
        <row r="27">
          <cell r="H27">
            <v>209507.75</v>
          </cell>
        </row>
      </sheetData>
      <sheetData sheetId="8">
        <row r="28">
          <cell r="H28">
            <v>114691.5</v>
          </cell>
        </row>
      </sheetData>
      <sheetData sheetId="9">
        <row r="5">
          <cell r="I5">
            <v>403.96287303972281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2.4119999999999999</v>
          </cell>
        </row>
      </sheetData>
      <sheetData sheetId="21"/>
      <sheetData sheetId="22"/>
      <sheetData sheetId="23">
        <row r="9">
          <cell r="D9">
            <v>4.0980000000000008</v>
          </cell>
        </row>
      </sheetData>
      <sheetData sheetId="24"/>
      <sheetData sheetId="25"/>
      <sheetData sheetId="26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11.629925159547604</v>
          </cell>
        </row>
      </sheetData>
      <sheetData sheetId="1"/>
      <sheetData sheetId="2"/>
      <sheetData sheetId="3">
        <row r="136">
          <cell r="H136">
            <v>3015.4190802637577</v>
          </cell>
        </row>
        <row r="152">
          <cell r="H152">
            <v>0.20470331194905644</v>
          </cell>
        </row>
      </sheetData>
      <sheetData sheetId="4"/>
      <sheetData sheetId="5"/>
      <sheetData sheetId="6">
        <row r="20">
          <cell r="D20">
            <v>320164.8</v>
          </cell>
        </row>
      </sheetData>
      <sheetData sheetId="7">
        <row r="21">
          <cell r="D21">
            <v>79066.666666666672</v>
          </cell>
        </row>
      </sheetData>
      <sheetData sheetId="8">
        <row r="26">
          <cell r="C26">
            <v>1663.7866666666669</v>
          </cell>
        </row>
      </sheetData>
      <sheetData sheetId="9">
        <row r="16">
          <cell r="D16">
            <v>315</v>
          </cell>
        </row>
      </sheetData>
      <sheetData sheetId="10">
        <row r="29">
          <cell r="D29">
            <v>406.75333333333333</v>
          </cell>
        </row>
      </sheetData>
      <sheetData sheetId="11">
        <row r="26">
          <cell r="D26">
            <v>1103.3333333333333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11.629925159547604</v>
          </cell>
        </row>
      </sheetData>
      <sheetData sheetId="1"/>
      <sheetData sheetId="2"/>
      <sheetData sheetId="3">
        <row r="136">
          <cell r="H136">
            <v>2984.2153865963228</v>
          </cell>
        </row>
        <row r="152">
          <cell r="H152">
            <v>0.20535836254729345</v>
          </cell>
        </row>
      </sheetData>
      <sheetData sheetId="4"/>
      <sheetData sheetId="5"/>
      <sheetData sheetId="6">
        <row r="20">
          <cell r="D20">
            <v>316220</v>
          </cell>
        </row>
      </sheetData>
      <sheetData sheetId="7">
        <row r="21">
          <cell r="D21">
            <v>79066.666666666672</v>
          </cell>
        </row>
      </sheetData>
      <sheetData sheetId="8">
        <row r="26">
          <cell r="C26">
            <v>1645.4533333333336</v>
          </cell>
        </row>
      </sheetData>
      <sheetData sheetId="9">
        <row r="16">
          <cell r="D16">
            <v>315</v>
          </cell>
        </row>
      </sheetData>
      <sheetData sheetId="10">
        <row r="29">
          <cell r="D29">
            <v>423.77</v>
          </cell>
        </row>
      </sheetData>
      <sheetData sheetId="11">
        <row r="26">
          <cell r="D26">
            <v>1103.3333333333333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11.629925159547604</v>
          </cell>
        </row>
      </sheetData>
      <sheetData sheetId="1"/>
      <sheetData sheetId="2"/>
      <sheetData sheetId="3">
        <row r="136">
          <cell r="H136">
            <v>2984.2153865963228</v>
          </cell>
        </row>
        <row r="152">
          <cell r="H152">
            <v>0.20652890521381304</v>
          </cell>
        </row>
      </sheetData>
      <sheetData sheetId="4"/>
      <sheetData sheetId="5"/>
      <sheetData sheetId="6">
        <row r="20">
          <cell r="D20">
            <v>316220</v>
          </cell>
        </row>
      </sheetData>
      <sheetData sheetId="7">
        <row r="21">
          <cell r="D21">
            <v>79066.666666666672</v>
          </cell>
        </row>
      </sheetData>
      <sheetData sheetId="8">
        <row r="26">
          <cell r="C26">
            <v>1652.3416666666669</v>
          </cell>
        </row>
      </sheetData>
      <sheetData sheetId="9">
        <row r="16">
          <cell r="D16">
            <v>315</v>
          </cell>
        </row>
      </sheetData>
      <sheetData sheetId="10">
        <row r="29">
          <cell r="D29">
            <v>423.77</v>
          </cell>
        </row>
      </sheetData>
      <sheetData sheetId="11">
        <row r="26">
          <cell r="D26">
            <v>1103.3333333333333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11.63345105141528</v>
          </cell>
        </row>
      </sheetData>
      <sheetData sheetId="1"/>
      <sheetData sheetId="2"/>
      <sheetData sheetId="3">
        <row r="150">
          <cell r="H150">
            <v>3007.5311459387817</v>
          </cell>
        </row>
        <row r="166">
          <cell r="H166">
            <v>0.2075822026304035</v>
          </cell>
        </row>
      </sheetData>
      <sheetData sheetId="4"/>
      <sheetData sheetId="5"/>
      <sheetData sheetId="6">
        <row r="20">
          <cell r="D20">
            <v>319167.59999999998</v>
          </cell>
        </row>
      </sheetData>
      <sheetData sheetId="7">
        <row r="21">
          <cell r="D21">
            <v>79066.666666666672</v>
          </cell>
        </row>
      </sheetData>
      <sheetData sheetId="8">
        <row r="26">
          <cell r="C26">
            <v>1652.3416666666669</v>
          </cell>
        </row>
      </sheetData>
      <sheetData sheetId="9">
        <row r="16">
          <cell r="D16">
            <v>321</v>
          </cell>
        </row>
      </sheetData>
      <sheetData sheetId="10">
        <row r="29">
          <cell r="D29">
            <v>423.77</v>
          </cell>
        </row>
      </sheetData>
      <sheetData sheetId="11">
        <row r="26">
          <cell r="D26">
            <v>1103.3333333333333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11.63345105141528</v>
          </cell>
        </row>
      </sheetData>
      <sheetData sheetId="1"/>
      <sheetData sheetId="2"/>
      <sheetData sheetId="3">
        <row r="150">
          <cell r="H150">
            <v>3009.2926555113318</v>
          </cell>
        </row>
        <row r="166">
          <cell r="H166">
            <v>0.20864087186381858</v>
          </cell>
        </row>
      </sheetData>
      <sheetData sheetId="4"/>
      <sheetData sheetId="5"/>
      <sheetData sheetId="6">
        <row r="20">
          <cell r="D20">
            <v>319167.59999999998</v>
          </cell>
        </row>
      </sheetData>
      <sheetData sheetId="7">
        <row r="21">
          <cell r="D21">
            <v>79358.333333333328</v>
          </cell>
        </row>
      </sheetData>
      <sheetData sheetId="8">
        <row r="26">
          <cell r="C26">
            <v>1604.114</v>
          </cell>
        </row>
      </sheetData>
      <sheetData sheetId="9">
        <row r="16">
          <cell r="D16">
            <v>321</v>
          </cell>
        </row>
      </sheetData>
      <sheetData sheetId="10">
        <row r="29">
          <cell r="D29">
            <v>423.77</v>
          </cell>
        </row>
      </sheetData>
      <sheetData sheetId="11">
        <row r="26">
          <cell r="D26">
            <v>1103.3333333333333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11.63345105141528</v>
          </cell>
        </row>
      </sheetData>
      <sheetData sheetId="1"/>
      <sheetData sheetId="2"/>
      <sheetData sheetId="3">
        <row r="150">
          <cell r="H150">
            <v>3041.3038294250132</v>
          </cell>
        </row>
        <row r="166">
          <cell r="H166">
            <v>0.20945457126408748</v>
          </cell>
        </row>
      </sheetData>
      <sheetData sheetId="4"/>
      <sheetData sheetId="5"/>
      <sheetData sheetId="6">
        <row r="20">
          <cell r="D20">
            <v>322820</v>
          </cell>
        </row>
      </sheetData>
      <sheetData sheetId="7">
        <row r="21">
          <cell r="D21">
            <v>79875</v>
          </cell>
        </row>
      </sheetData>
      <sheetData sheetId="8">
        <row r="26">
          <cell r="C26">
            <v>1629.7083333333333</v>
          </cell>
        </row>
      </sheetData>
      <sheetData sheetId="9">
        <row r="16">
          <cell r="D16">
            <v>321</v>
          </cell>
        </row>
      </sheetData>
      <sheetData sheetId="10">
        <row r="29">
          <cell r="D29">
            <v>424.27</v>
          </cell>
        </row>
      </sheetData>
      <sheetData sheetId="11">
        <row r="26">
          <cell r="D26">
            <v>1103.3333333333333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11.63345105141528</v>
          </cell>
        </row>
      </sheetData>
      <sheetData sheetId="1"/>
      <sheetData sheetId="2"/>
      <sheetData sheetId="3">
        <row r="150">
          <cell r="H150">
            <v>3041.3038294250132</v>
          </cell>
        </row>
        <row r="166">
          <cell r="H166">
            <v>0.20983158949236283</v>
          </cell>
        </row>
      </sheetData>
      <sheetData sheetId="4"/>
      <sheetData sheetId="5"/>
      <sheetData sheetId="6">
        <row r="20">
          <cell r="D20">
            <v>322820</v>
          </cell>
        </row>
      </sheetData>
      <sheetData sheetId="7">
        <row r="21">
          <cell r="D21">
            <v>79875</v>
          </cell>
        </row>
      </sheetData>
      <sheetData sheetId="8">
        <row r="16">
          <cell r="D16">
            <v>321</v>
          </cell>
        </row>
      </sheetData>
      <sheetData sheetId="9">
        <row r="26">
          <cell r="C26">
            <v>1580.0416666666667</v>
          </cell>
        </row>
      </sheetData>
      <sheetData sheetId="10">
        <row r="29">
          <cell r="D29">
            <v>424.27</v>
          </cell>
        </row>
      </sheetData>
      <sheetData sheetId="11">
        <row r="26">
          <cell r="D26">
            <v>1103.3333333333333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11.988544072371928</v>
          </cell>
        </row>
      </sheetData>
      <sheetData sheetId="1"/>
      <sheetData sheetId="2"/>
      <sheetData sheetId="3">
        <row r="150">
          <cell r="H150">
            <v>3065.0340770934126</v>
          </cell>
        </row>
        <row r="166">
          <cell r="H166">
            <v>0.21117451166511395</v>
          </cell>
        </row>
      </sheetData>
      <sheetData sheetId="4"/>
      <sheetData sheetId="5"/>
      <sheetData sheetId="6">
        <row r="20">
          <cell r="D20">
            <v>325820</v>
          </cell>
        </row>
      </sheetData>
      <sheetData sheetId="7">
        <row r="21">
          <cell r="D21">
            <v>79875</v>
          </cell>
        </row>
      </sheetData>
      <sheetData sheetId="8">
        <row r="16">
          <cell r="D16">
            <v>321</v>
          </cell>
        </row>
      </sheetData>
      <sheetData sheetId="9">
        <row r="26">
          <cell r="C26">
            <v>1580.0416666666667</v>
          </cell>
        </row>
      </sheetData>
      <sheetData sheetId="10">
        <row r="29">
          <cell r="D29">
            <v>424.27</v>
          </cell>
        </row>
      </sheetData>
      <sheetData sheetId="11">
        <row r="26">
          <cell r="D26">
            <v>1150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11.988544072371928</v>
          </cell>
        </row>
      </sheetData>
      <sheetData sheetId="1"/>
      <sheetData sheetId="2"/>
      <sheetData sheetId="3">
        <row r="150">
          <cell r="H150">
            <v>3063.0209232962129</v>
          </cell>
        </row>
        <row r="166">
          <cell r="H166">
            <v>0.21233597147927208</v>
          </cell>
        </row>
      </sheetData>
      <sheetData sheetId="4"/>
      <sheetData sheetId="5"/>
      <sheetData sheetId="6">
        <row r="20">
          <cell r="D20">
            <v>325820</v>
          </cell>
        </row>
      </sheetData>
      <sheetData sheetId="7">
        <row r="21">
          <cell r="D21">
            <v>79541.666666666672</v>
          </cell>
        </row>
      </sheetData>
      <sheetData sheetId="8">
        <row r="16">
          <cell r="D16">
            <v>321</v>
          </cell>
        </row>
      </sheetData>
      <sheetData sheetId="9">
        <row r="26">
          <cell r="C26">
            <v>1584.2650000000001</v>
          </cell>
        </row>
      </sheetData>
      <sheetData sheetId="10">
        <row r="29">
          <cell r="D29">
            <v>424.27</v>
          </cell>
        </row>
      </sheetData>
      <sheetData sheetId="11">
        <row r="26">
          <cell r="D26">
            <v>1150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12.167430094292969</v>
          </cell>
        </row>
      </sheetData>
      <sheetData sheetId="1"/>
      <sheetData sheetId="2"/>
      <sheetData sheetId="3">
        <row r="150">
          <cell r="H150">
            <v>3055.1108407400798</v>
          </cell>
        </row>
        <row r="166">
          <cell r="H166">
            <v>0.21288804500511818</v>
          </cell>
        </row>
      </sheetData>
      <sheetData sheetId="4"/>
      <sheetData sheetId="5"/>
      <sheetData sheetId="6">
        <row r="20">
          <cell r="D20">
            <v>324820</v>
          </cell>
        </row>
      </sheetData>
      <sheetData sheetId="7">
        <row r="21">
          <cell r="D21">
            <v>79541.666666666672</v>
          </cell>
        </row>
      </sheetData>
      <sheetData sheetId="8">
        <row r="16">
          <cell r="D16">
            <v>326</v>
          </cell>
        </row>
      </sheetData>
      <sheetData sheetId="9">
        <row r="26">
          <cell r="C26">
            <v>1609.7616666666665</v>
          </cell>
        </row>
      </sheetData>
      <sheetData sheetId="10">
        <row r="29">
          <cell r="D29">
            <v>426.27833333333336</v>
          </cell>
        </row>
      </sheetData>
      <sheetData sheetId="11">
        <row r="26">
          <cell r="D26">
            <v>1150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693.36373148504572</v>
          </cell>
        </row>
      </sheetData>
      <sheetData sheetId="3">
        <row r="8">
          <cell r="E8">
            <v>548.49498102339317</v>
          </cell>
        </row>
      </sheetData>
      <sheetData sheetId="4"/>
      <sheetData sheetId="5">
        <row r="8">
          <cell r="E8">
            <v>144.8687504616525</v>
          </cell>
        </row>
      </sheetData>
      <sheetData sheetId="6"/>
      <sheetData sheetId="7">
        <row r="27">
          <cell r="H27">
            <v>210282.75</v>
          </cell>
        </row>
      </sheetData>
      <sheetData sheetId="8">
        <row r="28">
          <cell r="H28">
            <v>114753.2</v>
          </cell>
        </row>
      </sheetData>
      <sheetData sheetId="9">
        <row r="5">
          <cell r="I5">
            <v>403.96287303972281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2.423</v>
          </cell>
        </row>
      </sheetData>
      <sheetData sheetId="21"/>
      <sheetData sheetId="22"/>
      <sheetData sheetId="23">
        <row r="9">
          <cell r="D9">
            <v>4.0980000000000008</v>
          </cell>
        </row>
      </sheetData>
      <sheetData sheetId="24"/>
      <sheetData sheetId="25"/>
      <sheetData sheetId="26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12.167430094292969</v>
          </cell>
        </row>
      </sheetData>
      <sheetData sheetId="1"/>
      <sheetData sheetId="2"/>
      <sheetData sheetId="3">
        <row r="150">
          <cell r="H150">
            <v>3047.2007581839462</v>
          </cell>
        </row>
        <row r="166">
          <cell r="H166">
            <v>0.21380346359864019</v>
          </cell>
        </row>
      </sheetData>
      <sheetData sheetId="4"/>
      <sheetData sheetId="5"/>
      <sheetData sheetId="6">
        <row r="20">
          <cell r="D20">
            <v>323820</v>
          </cell>
        </row>
      </sheetData>
      <sheetData sheetId="7">
        <row r="21">
          <cell r="D21">
            <v>79541.666666666672</v>
          </cell>
        </row>
      </sheetData>
      <sheetData sheetId="8">
        <row r="16">
          <cell r="D16">
            <v>326</v>
          </cell>
        </row>
      </sheetData>
      <sheetData sheetId="9">
        <row r="26">
          <cell r="C26">
            <v>1615.6450000000002</v>
          </cell>
        </row>
      </sheetData>
      <sheetData sheetId="10">
        <row r="29">
          <cell r="D29">
            <v>426.27833333333336</v>
          </cell>
        </row>
      </sheetData>
      <sheetData sheetId="11">
        <row r="26">
          <cell r="D26">
            <v>1150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12.171656639502554</v>
          </cell>
        </row>
      </sheetData>
      <sheetData sheetId="1"/>
      <sheetData sheetId="2"/>
      <sheetData sheetId="3">
        <row r="150">
          <cell r="H150">
            <v>3051.3695984110127</v>
          </cell>
        </row>
        <row r="166">
          <cell r="H166">
            <v>0.21476557918483405</v>
          </cell>
        </row>
      </sheetData>
      <sheetData sheetId="4"/>
      <sheetData sheetId="5"/>
      <sheetData sheetId="6">
        <row r="20">
          <cell r="D20">
            <v>322820</v>
          </cell>
        </row>
      </sheetData>
      <sheetData sheetId="7">
        <row r="21">
          <cell r="D21">
            <v>81541.666666666672</v>
          </cell>
        </row>
      </sheetData>
      <sheetData sheetId="8">
        <row r="16">
          <cell r="D16">
            <v>326</v>
          </cell>
        </row>
      </sheetData>
      <sheetData sheetId="9">
        <row r="26">
          <cell r="C26">
            <v>1615.6450000000002</v>
          </cell>
        </row>
      </sheetData>
      <sheetData sheetId="10">
        <row r="29">
          <cell r="D29">
            <v>426.27833333333336</v>
          </cell>
        </row>
      </sheetData>
      <sheetData sheetId="11">
        <row r="26">
          <cell r="D26">
            <v>1150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12.171656639502554</v>
          </cell>
        </row>
      </sheetData>
      <sheetData sheetId="1"/>
      <sheetData sheetId="2"/>
      <sheetData sheetId="3">
        <row r="150">
          <cell r="H150">
            <v>3043.4595158548796</v>
          </cell>
        </row>
        <row r="166">
          <cell r="H166">
            <v>0.21611860233369851</v>
          </cell>
        </row>
      </sheetData>
      <sheetData sheetId="4"/>
      <sheetData sheetId="5"/>
      <sheetData sheetId="6">
        <row r="20">
          <cell r="D20">
            <v>321820</v>
          </cell>
        </row>
      </sheetData>
      <sheetData sheetId="7">
        <row r="21">
          <cell r="D21">
            <v>81541.666666666672</v>
          </cell>
        </row>
      </sheetData>
      <sheetData sheetId="8">
        <row r="16">
          <cell r="D16">
            <v>326</v>
          </cell>
        </row>
      </sheetData>
      <sheetData sheetId="9">
        <row r="26">
          <cell r="C26">
            <v>1618.2266666666667</v>
          </cell>
        </row>
      </sheetData>
      <sheetData sheetId="10">
        <row r="29">
          <cell r="D29">
            <v>426.27833333333336</v>
          </cell>
        </row>
      </sheetData>
      <sheetData sheetId="11">
        <row r="26">
          <cell r="D26">
            <v>1150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12.171656639502554</v>
          </cell>
        </row>
      </sheetData>
      <sheetData sheetId="1"/>
      <sheetData sheetId="2"/>
      <sheetData sheetId="3">
        <row r="150">
          <cell r="H150">
            <v>3059.2796809671463</v>
          </cell>
        </row>
        <row r="166">
          <cell r="H166">
            <v>0.21765304441026778</v>
          </cell>
        </row>
      </sheetData>
      <sheetData sheetId="4"/>
      <sheetData sheetId="5"/>
      <sheetData sheetId="6">
        <row r="20">
          <cell r="D20">
            <v>323820</v>
          </cell>
        </row>
      </sheetData>
      <sheetData sheetId="7">
        <row r="21">
          <cell r="D21">
            <v>81541.666666666672</v>
          </cell>
        </row>
      </sheetData>
      <sheetData sheetId="8">
        <row r="16">
          <cell r="D16">
            <v>326</v>
          </cell>
        </row>
      </sheetData>
      <sheetData sheetId="9">
        <row r="26">
          <cell r="C26">
            <v>1655.0133333333335</v>
          </cell>
        </row>
      </sheetData>
      <sheetData sheetId="10">
        <row r="29">
          <cell r="D29">
            <v>426.27833333333336</v>
          </cell>
        </row>
      </sheetData>
      <sheetData sheetId="11">
        <row r="26">
          <cell r="D26">
            <v>1150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12.171656639502554</v>
          </cell>
        </row>
      </sheetData>
      <sheetData sheetId="1"/>
      <sheetData sheetId="2"/>
      <sheetData sheetId="3">
        <row r="150">
          <cell r="H150">
            <v>3059.2796809671463</v>
          </cell>
        </row>
        <row r="166">
          <cell r="H166">
            <v>0.21882837085008325</v>
          </cell>
        </row>
      </sheetData>
      <sheetData sheetId="4"/>
      <sheetData sheetId="5"/>
      <sheetData sheetId="6">
        <row r="20">
          <cell r="D20">
            <v>323820</v>
          </cell>
        </row>
      </sheetData>
      <sheetData sheetId="7">
        <row r="21">
          <cell r="D21">
            <v>81541.666666666672</v>
          </cell>
        </row>
      </sheetData>
      <sheetData sheetId="8">
        <row r="16">
          <cell r="D16">
            <v>326</v>
          </cell>
        </row>
      </sheetData>
      <sheetData sheetId="9">
        <row r="26">
          <cell r="C26">
            <v>1642.2183333333335</v>
          </cell>
        </row>
      </sheetData>
      <sheetData sheetId="10">
        <row r="29">
          <cell r="D29">
            <v>426.27833333333336</v>
          </cell>
        </row>
      </sheetData>
      <sheetData sheetId="11">
        <row r="26">
          <cell r="D26">
            <v>1150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12.171656639502554</v>
          </cell>
        </row>
      </sheetData>
      <sheetData sheetId="1"/>
      <sheetData sheetId="2"/>
      <sheetData sheetId="3">
        <row r="150">
          <cell r="H150">
            <v>3064.0257305008263</v>
          </cell>
        </row>
        <row r="166">
          <cell r="H166">
            <v>0.22044770079437387</v>
          </cell>
        </row>
      </sheetData>
      <sheetData sheetId="4"/>
      <sheetData sheetId="5"/>
      <sheetData sheetId="6">
        <row r="20">
          <cell r="D20">
            <v>324420</v>
          </cell>
        </row>
      </sheetData>
      <sheetData sheetId="7">
        <row r="21">
          <cell r="D21">
            <v>81541.666666666672</v>
          </cell>
        </row>
      </sheetData>
      <sheetData sheetId="8">
        <row r="16">
          <cell r="D16">
            <v>326</v>
          </cell>
        </row>
      </sheetData>
      <sheetData sheetId="9">
        <row r="26">
          <cell r="C26">
            <v>1630.551666666667</v>
          </cell>
        </row>
      </sheetData>
      <sheetData sheetId="10">
        <row r="29">
          <cell r="D29">
            <v>454.02833333333336</v>
          </cell>
        </row>
      </sheetData>
      <sheetData sheetId="11">
        <row r="26">
          <cell r="D26">
            <v>1180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12.171656639502554</v>
          </cell>
        </row>
      </sheetData>
      <sheetData sheetId="1"/>
      <sheetData sheetId="2"/>
      <sheetData sheetId="3">
        <row r="150">
          <cell r="H150">
            <v>3075.0998460794131</v>
          </cell>
        </row>
        <row r="166">
          <cell r="H166">
            <v>0.22247581964168214</v>
          </cell>
        </row>
      </sheetData>
      <sheetData sheetId="4"/>
      <sheetData sheetId="5"/>
      <sheetData sheetId="6">
        <row r="20">
          <cell r="D20">
            <v>325820</v>
          </cell>
        </row>
      </sheetData>
      <sheetData sheetId="7">
        <row r="21">
          <cell r="D21">
            <v>81541.666666666672</v>
          </cell>
        </row>
      </sheetData>
      <sheetData sheetId="8">
        <row r="16">
          <cell r="D16">
            <v>326</v>
          </cell>
        </row>
      </sheetData>
      <sheetData sheetId="9">
        <row r="26">
          <cell r="C26">
            <v>1616.1100000000004</v>
          </cell>
        </row>
      </sheetData>
      <sheetData sheetId="10">
        <row r="29">
          <cell r="D29">
            <v>454.02833333333336</v>
          </cell>
        </row>
      </sheetData>
      <sheetData sheetId="11">
        <row r="26">
          <cell r="D26">
            <v>1180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12.171656639502554</v>
          </cell>
        </row>
      </sheetData>
      <sheetData sheetId="1"/>
      <sheetData sheetId="2"/>
      <sheetData sheetId="3">
        <row r="150">
          <cell r="H150">
            <v>3075.0998460794131</v>
          </cell>
        </row>
        <row r="166">
          <cell r="H166">
            <v>0.2236326939038189</v>
          </cell>
        </row>
      </sheetData>
      <sheetData sheetId="4"/>
      <sheetData sheetId="5"/>
      <sheetData sheetId="6">
        <row r="20">
          <cell r="D20">
            <v>325820</v>
          </cell>
        </row>
      </sheetData>
      <sheetData sheetId="7">
        <row r="21">
          <cell r="D21">
            <v>81541.666666666672</v>
          </cell>
        </row>
      </sheetData>
      <sheetData sheetId="8">
        <row r="16">
          <cell r="D16">
            <v>326</v>
          </cell>
        </row>
      </sheetData>
      <sheetData sheetId="9">
        <row r="26">
          <cell r="C26">
            <v>1630.2766666666669</v>
          </cell>
        </row>
      </sheetData>
      <sheetData sheetId="10">
        <row r="29">
          <cell r="D29">
            <v>454.12833333333333</v>
          </cell>
        </row>
      </sheetData>
      <sheetData sheetId="11">
        <row r="26">
          <cell r="D26">
            <v>1180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12.171656639502554</v>
          </cell>
        </row>
      </sheetData>
      <sheetData sheetId="1"/>
      <sheetData sheetId="2"/>
      <sheetData sheetId="3">
        <row r="150">
          <cell r="H150">
            <v>3075.0998460794131</v>
          </cell>
        </row>
        <row r="166">
          <cell r="H166">
            <v>0.22497449006724182</v>
          </cell>
        </row>
      </sheetData>
      <sheetData sheetId="4"/>
      <sheetData sheetId="5"/>
      <sheetData sheetId="6">
        <row r="20">
          <cell r="D20">
            <v>325820</v>
          </cell>
        </row>
      </sheetData>
      <sheetData sheetId="7">
        <row r="21">
          <cell r="D21">
            <v>81541.666666666672</v>
          </cell>
        </row>
      </sheetData>
      <sheetData sheetId="8">
        <row r="16">
          <cell r="D16">
            <v>330</v>
          </cell>
        </row>
      </sheetData>
      <sheetData sheetId="9">
        <row r="26">
          <cell r="C26">
            <v>1684.9333333333334</v>
          </cell>
        </row>
      </sheetData>
      <sheetData sheetId="10">
        <row r="29">
          <cell r="D29">
            <v>454.12833333333333</v>
          </cell>
        </row>
      </sheetData>
      <sheetData sheetId="11">
        <row r="26">
          <cell r="D26">
            <v>1180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12.605964066329859</v>
          </cell>
        </row>
      </sheetData>
      <sheetData sheetId="1"/>
      <sheetData sheetId="2"/>
      <sheetData sheetId="3">
        <row r="150">
          <cell r="H150">
            <v>3075.0998460794131</v>
          </cell>
        </row>
        <row r="166">
          <cell r="H166">
            <v>0.22630183955863856</v>
          </cell>
        </row>
      </sheetData>
      <sheetData sheetId="4"/>
      <sheetData sheetId="5"/>
      <sheetData sheetId="6">
        <row r="20">
          <cell r="D20">
            <v>325820</v>
          </cell>
        </row>
      </sheetData>
      <sheetData sheetId="7">
        <row r="21">
          <cell r="D21">
            <v>81541.666666666672</v>
          </cell>
        </row>
      </sheetData>
      <sheetData sheetId="8">
        <row r="16">
          <cell r="D16">
            <v>330</v>
          </cell>
        </row>
      </sheetData>
      <sheetData sheetId="9">
        <row r="26">
          <cell r="C26">
            <v>1646.9466666666667</v>
          </cell>
        </row>
      </sheetData>
      <sheetData sheetId="10">
        <row r="29">
          <cell r="D29">
            <v>460.92833333333334</v>
          </cell>
        </row>
      </sheetData>
      <sheetData sheetId="11">
        <row r="26">
          <cell r="D26">
            <v>1180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722.14655791718042</v>
          </cell>
        </row>
      </sheetData>
      <sheetData sheetId="3">
        <row r="8">
          <cell r="E8">
            <v>573.0466508434024</v>
          </cell>
        </row>
      </sheetData>
      <sheetData sheetId="4"/>
      <sheetData sheetId="5">
        <row r="8">
          <cell r="E8">
            <v>149.09990707377796</v>
          </cell>
        </row>
      </sheetData>
      <sheetData sheetId="6"/>
      <sheetData sheetId="7">
        <row r="27">
          <cell r="H27">
            <v>209507.75</v>
          </cell>
        </row>
      </sheetData>
      <sheetData sheetId="8">
        <row r="28">
          <cell r="H28">
            <v>114753.2</v>
          </cell>
        </row>
      </sheetData>
      <sheetData sheetId="9">
        <row r="5">
          <cell r="I5">
            <v>428.48830341516981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2.431</v>
          </cell>
        </row>
      </sheetData>
      <sheetData sheetId="21"/>
      <sheetData sheetId="22"/>
      <sheetData sheetId="23">
        <row r="9">
          <cell r="D9">
            <v>4.0980000000000008</v>
          </cell>
        </row>
      </sheetData>
      <sheetData sheetId="24"/>
      <sheetData sheetId="25"/>
      <sheetData sheetId="26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12.605964066329859</v>
          </cell>
        </row>
      </sheetData>
      <sheetData sheetId="1"/>
      <sheetData sheetId="2"/>
      <sheetData sheetId="3">
        <row r="150">
          <cell r="H150">
            <v>3075.0998460794131</v>
          </cell>
        </row>
        <row r="166">
          <cell r="H166">
            <v>0.22709389599709381</v>
          </cell>
        </row>
      </sheetData>
      <sheetData sheetId="4"/>
      <sheetData sheetId="5"/>
      <sheetData sheetId="6">
        <row r="20">
          <cell r="D20">
            <v>325820</v>
          </cell>
        </row>
      </sheetData>
      <sheetData sheetId="7">
        <row r="21">
          <cell r="D21">
            <v>81541.666666666672</v>
          </cell>
        </row>
      </sheetData>
      <sheetData sheetId="8">
        <row r="16">
          <cell r="D16">
            <v>330</v>
          </cell>
        </row>
      </sheetData>
      <sheetData sheetId="9">
        <row r="26">
          <cell r="C26">
            <v>1646.9466666666667</v>
          </cell>
        </row>
      </sheetData>
      <sheetData sheetId="10">
        <row r="29">
          <cell r="D29">
            <v>460.92833333333334</v>
          </cell>
        </row>
      </sheetData>
      <sheetData sheetId="11">
        <row r="26">
          <cell r="D26">
            <v>1180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12.84578768447888</v>
          </cell>
        </row>
      </sheetData>
      <sheetData sheetId="1"/>
      <sheetData sheetId="2"/>
      <sheetData sheetId="3">
        <row r="150">
          <cell r="H150">
            <v>3081.4279121243194</v>
          </cell>
        </row>
        <row r="166">
          <cell r="H166">
            <v>0.22772975890588565</v>
          </cell>
        </row>
      </sheetData>
      <sheetData sheetId="4"/>
      <sheetData sheetId="5"/>
      <sheetData sheetId="6">
        <row r="20">
          <cell r="D20">
            <v>326620</v>
          </cell>
        </row>
      </sheetData>
      <sheetData sheetId="7">
        <row r="21">
          <cell r="D21">
            <v>81541.666666666672</v>
          </cell>
        </row>
      </sheetData>
      <sheetData sheetId="8">
        <row r="16">
          <cell r="D16">
            <v>330</v>
          </cell>
        </row>
      </sheetData>
      <sheetData sheetId="9">
        <row r="26">
          <cell r="C26">
            <v>1670.6899999999998</v>
          </cell>
        </row>
      </sheetData>
      <sheetData sheetId="10">
        <row r="29">
          <cell r="D29">
            <v>460.92833333333334</v>
          </cell>
        </row>
      </sheetData>
      <sheetData sheetId="11">
        <row r="26">
          <cell r="D26">
            <v>1180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12.85023067723715</v>
          </cell>
        </row>
      </sheetData>
      <sheetData sheetId="1"/>
      <sheetData sheetId="2"/>
      <sheetData sheetId="3">
        <row r="150">
          <cell r="H150">
            <v>3099.6211020034261</v>
          </cell>
        </row>
        <row r="166">
          <cell r="H166">
            <v>0.227433710219308</v>
          </cell>
        </row>
      </sheetData>
      <sheetData sheetId="4"/>
      <sheetData sheetId="5"/>
      <sheetData sheetId="6">
        <row r="20">
          <cell r="D20">
            <v>328920</v>
          </cell>
        </row>
      </sheetData>
      <sheetData sheetId="7">
        <row r="21">
          <cell r="D21">
            <v>81541.666666666672</v>
          </cell>
        </row>
      </sheetData>
      <sheetData sheetId="8">
        <row r="16">
          <cell r="D16">
            <v>330</v>
          </cell>
        </row>
      </sheetData>
      <sheetData sheetId="9">
        <row r="26">
          <cell r="C26">
            <v>1719.9949999999999</v>
          </cell>
        </row>
      </sheetData>
      <sheetData sheetId="10">
        <row r="29">
          <cell r="D29">
            <v>460.92833333333334</v>
          </cell>
        </row>
      </sheetData>
      <sheetData sheetId="11">
        <row r="26">
          <cell r="D26">
            <v>1180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12.902068895794935</v>
          </cell>
        </row>
      </sheetData>
      <sheetData sheetId="1"/>
      <sheetData sheetId="2"/>
      <sheetData sheetId="3">
        <row r="150">
          <cell r="H150">
            <v>3104.3671515371061</v>
          </cell>
        </row>
        <row r="166">
          <cell r="H166">
            <v>0.22779760415565889</v>
          </cell>
        </row>
      </sheetData>
      <sheetData sheetId="4"/>
      <sheetData sheetId="5"/>
      <sheetData sheetId="6">
        <row r="20">
          <cell r="D20">
            <v>329520</v>
          </cell>
        </row>
      </sheetData>
      <sheetData sheetId="7">
        <row r="21">
          <cell r="D21">
            <v>81541.666666666672</v>
          </cell>
        </row>
      </sheetData>
      <sheetData sheetId="8">
        <row r="16">
          <cell r="D16">
            <v>330</v>
          </cell>
        </row>
      </sheetData>
      <sheetData sheetId="9">
        <row r="26">
          <cell r="C26">
            <v>1719.9949999999999</v>
          </cell>
        </row>
      </sheetData>
      <sheetData sheetId="10">
        <row r="29">
          <cell r="D29">
            <v>460.92833333333334</v>
          </cell>
        </row>
      </sheetData>
      <sheetData sheetId="11">
        <row r="26">
          <cell r="D26">
            <v>1180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12.910928747394715</v>
          </cell>
        </row>
      </sheetData>
      <sheetData sheetId="1"/>
      <sheetData sheetId="2"/>
      <sheetData sheetId="3">
        <row r="150">
          <cell r="H150">
            <v>3107.5311845595602</v>
          </cell>
        </row>
        <row r="166">
          <cell r="H166">
            <v>0.22841265768687916</v>
          </cell>
        </row>
      </sheetData>
      <sheetData sheetId="4"/>
      <sheetData sheetId="5"/>
      <sheetData sheetId="6">
        <row r="20">
          <cell r="D20">
            <v>329920</v>
          </cell>
        </row>
      </sheetData>
      <sheetData sheetId="7">
        <row r="21">
          <cell r="D21">
            <v>81541.666666666672</v>
          </cell>
        </row>
      </sheetData>
      <sheetData sheetId="8">
        <row r="16">
          <cell r="D16">
            <v>330</v>
          </cell>
        </row>
      </sheetData>
      <sheetData sheetId="9">
        <row r="26">
          <cell r="C26">
            <v>1748.3833333333332</v>
          </cell>
        </row>
      </sheetData>
      <sheetData sheetId="10">
        <row r="29">
          <cell r="D29">
            <v>460.92833333333334</v>
          </cell>
        </row>
      </sheetData>
      <sheetData sheetId="11">
        <row r="26">
          <cell r="D26">
            <v>1180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12.927281737379152</v>
          </cell>
        </row>
      </sheetData>
      <sheetData sheetId="1"/>
      <sheetData sheetId="2"/>
      <sheetData sheetId="3">
        <row r="150">
          <cell r="H150">
            <v>3107.5311845595602</v>
          </cell>
        </row>
        <row r="166">
          <cell r="H166">
            <v>0.22980597489876911</v>
          </cell>
        </row>
      </sheetData>
      <sheetData sheetId="4"/>
      <sheetData sheetId="5"/>
      <sheetData sheetId="6">
        <row r="20">
          <cell r="D20">
            <v>329920</v>
          </cell>
        </row>
      </sheetData>
      <sheetData sheetId="7">
        <row r="21">
          <cell r="D21">
            <v>81541.666666666672</v>
          </cell>
        </row>
      </sheetData>
      <sheetData sheetId="8">
        <row r="16">
          <cell r="D16">
            <v>330</v>
          </cell>
        </row>
      </sheetData>
      <sheetData sheetId="9">
        <row r="26">
          <cell r="C26">
            <v>1751.38</v>
          </cell>
        </row>
      </sheetData>
      <sheetData sheetId="10">
        <row r="29">
          <cell r="D29">
            <v>460.92833333333334</v>
          </cell>
        </row>
      </sheetData>
      <sheetData sheetId="11">
        <row r="26">
          <cell r="D26">
            <v>1180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12.926613127452173</v>
          </cell>
        </row>
      </sheetData>
      <sheetData sheetId="1"/>
      <sheetData sheetId="2"/>
      <sheetData sheetId="3">
        <row r="150">
          <cell r="H150">
            <v>3107.5311845595602</v>
          </cell>
        </row>
        <row r="166">
          <cell r="H166">
            <v>0.23104692716322248</v>
          </cell>
        </row>
      </sheetData>
      <sheetData sheetId="4"/>
      <sheetData sheetId="5"/>
      <sheetData sheetId="6">
        <row r="20">
          <cell r="D20">
            <v>329920</v>
          </cell>
        </row>
      </sheetData>
      <sheetData sheetId="7">
        <row r="21">
          <cell r="D21">
            <v>81541.666666666672</v>
          </cell>
        </row>
      </sheetData>
      <sheetData sheetId="8">
        <row r="16">
          <cell r="D16">
            <v>330</v>
          </cell>
        </row>
      </sheetData>
      <sheetData sheetId="9">
        <row r="26">
          <cell r="C26">
            <v>1751.38</v>
          </cell>
        </row>
      </sheetData>
      <sheetData sheetId="10">
        <row r="29">
          <cell r="D29">
            <v>468.29500000000002</v>
          </cell>
        </row>
      </sheetData>
      <sheetData sheetId="11">
        <row r="26">
          <cell r="D26">
            <v>1180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12.925405164757988</v>
          </cell>
        </row>
      </sheetData>
      <sheetData sheetId="1"/>
      <sheetData sheetId="2"/>
      <sheetData sheetId="3">
        <row r="150">
          <cell r="H150">
            <v>3272.8993704780833</v>
          </cell>
        </row>
        <row r="166">
          <cell r="H166">
            <v>0.23271046503879769</v>
          </cell>
        </row>
      </sheetData>
      <sheetData sheetId="4"/>
      <sheetData sheetId="5"/>
      <sheetData sheetId="6">
        <row r="20">
          <cell r="D20">
            <v>350826</v>
          </cell>
        </row>
      </sheetData>
      <sheetData sheetId="7">
        <row r="21">
          <cell r="D21">
            <v>81541.666666666672</v>
          </cell>
        </row>
      </sheetData>
      <sheetData sheetId="8">
        <row r="16">
          <cell r="D16">
            <v>330</v>
          </cell>
        </row>
      </sheetData>
      <sheetData sheetId="9">
        <row r="26">
          <cell r="C26">
            <v>1732.4760000000001</v>
          </cell>
        </row>
      </sheetData>
      <sheetData sheetId="10">
        <row r="29">
          <cell r="D29">
            <v>468.29500000000002</v>
          </cell>
        </row>
      </sheetData>
      <sheetData sheetId="11">
        <row r="26">
          <cell r="D26">
            <v>1175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12.810530778671902</v>
          </cell>
        </row>
      </sheetData>
      <sheetData sheetId="1"/>
      <sheetData sheetId="2"/>
      <sheetData sheetId="3">
        <row r="150">
          <cell r="H150">
            <v>3265.5588138659919</v>
          </cell>
        </row>
        <row r="166">
          <cell r="H166">
            <v>0.23417654096854212</v>
          </cell>
        </row>
      </sheetData>
      <sheetData sheetId="4"/>
      <sheetData sheetId="5"/>
      <sheetData sheetId="6">
        <row r="21">
          <cell r="D21">
            <v>349898</v>
          </cell>
        </row>
      </sheetData>
      <sheetData sheetId="7">
        <row r="21">
          <cell r="D21">
            <v>81541.666666666672</v>
          </cell>
        </row>
      </sheetData>
      <sheetData sheetId="8">
        <row r="16">
          <cell r="D16">
            <v>327.99799999999999</v>
          </cell>
        </row>
      </sheetData>
      <sheetData sheetId="9">
        <row r="26">
          <cell r="C26">
            <v>1745.7060000000001</v>
          </cell>
        </row>
      </sheetData>
      <sheetData sheetId="10">
        <row r="29">
          <cell r="D29">
            <v>468.29500000000002</v>
          </cell>
        </row>
      </sheetData>
      <sheetData sheetId="11">
        <row r="26">
          <cell r="D26">
            <v>1175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12.8276181099284</v>
          </cell>
        </row>
      </sheetData>
      <sheetData sheetId="1"/>
      <sheetData sheetId="2"/>
      <sheetData sheetId="3">
        <row r="150">
          <cell r="H150">
            <v>3283.6956727468837</v>
          </cell>
        </row>
        <row r="166">
          <cell r="H166">
            <v>0.23567527083074077</v>
          </cell>
        </row>
      </sheetData>
      <sheetData sheetId="4"/>
      <sheetData sheetId="5"/>
      <sheetData sheetId="6">
        <row r="21">
          <cell r="D21">
            <v>352000</v>
          </cell>
        </row>
      </sheetData>
      <sheetData sheetId="7">
        <row r="21">
          <cell r="D21">
            <v>81791.666666666672</v>
          </cell>
        </row>
      </sheetData>
      <sheetData sheetId="8">
        <row r="16">
          <cell r="D16">
            <v>327.99799999999999</v>
          </cell>
        </row>
      </sheetData>
      <sheetData sheetId="9">
        <row r="26">
          <cell r="C26">
            <v>1749.7060000000001</v>
          </cell>
        </row>
      </sheetData>
      <sheetData sheetId="10">
        <row r="29">
          <cell r="D29">
            <v>468.29500000000002</v>
          </cell>
        </row>
      </sheetData>
      <sheetData sheetId="11">
        <row r="26">
          <cell r="D26">
            <v>1175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722.18267800469653</v>
          </cell>
        </row>
      </sheetData>
      <sheetData sheetId="3">
        <row r="8">
          <cell r="E8">
            <v>573.07039554384244</v>
          </cell>
        </row>
      </sheetData>
      <sheetData sheetId="4"/>
      <sheetData sheetId="5">
        <row r="8">
          <cell r="E8">
            <v>149.11228246085415</v>
          </cell>
        </row>
      </sheetData>
      <sheetData sheetId="6"/>
      <sheetData sheetId="7">
        <row r="27">
          <cell r="H27">
            <v>209507.75</v>
          </cell>
        </row>
      </sheetData>
      <sheetData sheetId="8">
        <row r="28">
          <cell r="H28">
            <v>114753.2</v>
          </cell>
        </row>
      </sheetData>
      <sheetData sheetId="9">
        <row r="5">
          <cell r="I5">
            <v>428.48830341516981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2.4350000000000001</v>
          </cell>
        </row>
      </sheetData>
      <sheetData sheetId="21"/>
      <sheetData sheetId="22"/>
      <sheetData sheetId="23">
        <row r="9">
          <cell r="D9">
            <v>4.0980000000000008</v>
          </cell>
        </row>
      </sheetData>
      <sheetData sheetId="24"/>
      <sheetData sheetId="25"/>
      <sheetData sheetId="26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12.849998879426179</v>
          </cell>
        </row>
      </sheetData>
      <sheetData sheetId="1"/>
      <sheetData sheetId="2"/>
      <sheetData sheetId="3">
        <row r="150">
          <cell r="H150">
            <v>3282.5645309413567</v>
          </cell>
        </row>
        <row r="166">
          <cell r="H166">
            <v>0.23760780805155285</v>
          </cell>
        </row>
      </sheetData>
      <sheetData sheetId="4"/>
      <sheetData sheetId="5"/>
      <sheetData sheetId="6">
        <row r="21">
          <cell r="D21">
            <v>351857</v>
          </cell>
        </row>
      </sheetData>
      <sheetData sheetId="7">
        <row r="21">
          <cell r="D21">
            <v>81791.666666666672</v>
          </cell>
        </row>
      </sheetData>
      <sheetData sheetId="8">
        <row r="16">
          <cell r="D16">
            <v>327.99799999999999</v>
          </cell>
        </row>
      </sheetData>
      <sheetData sheetId="9">
        <row r="26">
          <cell r="C26">
            <v>1735.8240000000001</v>
          </cell>
        </row>
      </sheetData>
      <sheetData sheetId="10">
        <row r="29">
          <cell r="D29">
            <v>468.29500000000002</v>
          </cell>
        </row>
      </sheetData>
      <sheetData sheetId="11">
        <row r="26">
          <cell r="D26">
            <v>1175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13.260299701045303</v>
          </cell>
        </row>
      </sheetData>
      <sheetData sheetId="1"/>
      <sheetData sheetId="2"/>
      <sheetData sheetId="3">
        <row r="150">
          <cell r="H150">
            <v>3284.5776847385569</v>
          </cell>
        </row>
        <row r="166">
          <cell r="H166">
            <v>0.23946114895435497</v>
          </cell>
        </row>
      </sheetData>
      <sheetData sheetId="4"/>
      <sheetData sheetId="5"/>
      <sheetData sheetId="6">
        <row r="21">
          <cell r="D21">
            <v>351857</v>
          </cell>
        </row>
      </sheetData>
      <sheetData sheetId="7">
        <row r="21">
          <cell r="D21">
            <v>82125</v>
          </cell>
        </row>
      </sheetData>
      <sheetData sheetId="8">
        <row r="16">
          <cell r="D16">
            <v>333.798</v>
          </cell>
        </row>
      </sheetData>
      <sheetData sheetId="9">
        <row r="26">
          <cell r="C26">
            <v>1735.8240000000001</v>
          </cell>
        </row>
      </sheetData>
      <sheetData sheetId="10">
        <row r="29">
          <cell r="D29">
            <v>468.29500000000002</v>
          </cell>
        </row>
      </sheetData>
      <sheetData sheetId="11">
        <row r="26">
          <cell r="D26">
            <v>1175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13.285927550919295</v>
          </cell>
        </row>
      </sheetData>
      <sheetData sheetId="1"/>
      <sheetData sheetId="2"/>
      <sheetData sheetId="3">
        <row r="150">
          <cell r="H150">
            <v>3286.8160611325434</v>
          </cell>
        </row>
        <row r="166">
          <cell r="H166">
            <v>0.2408979158480811</v>
          </cell>
        </row>
      </sheetData>
      <sheetData sheetId="4"/>
      <sheetData sheetId="5"/>
      <sheetData sheetId="6">
        <row r="21">
          <cell r="D21">
            <v>352000</v>
          </cell>
        </row>
      </sheetData>
      <sheetData sheetId="7">
        <row r="21">
          <cell r="D21">
            <v>82308.333333333328</v>
          </cell>
        </row>
      </sheetData>
      <sheetData sheetId="8">
        <row r="16">
          <cell r="D16">
            <v>333.97799999999995</v>
          </cell>
        </row>
      </sheetData>
      <sheetData sheetId="9">
        <row r="26">
          <cell r="C26">
            <v>1719.0940000000003</v>
          </cell>
        </row>
      </sheetData>
      <sheetData sheetId="10">
        <row r="29">
          <cell r="D29">
            <v>471.11166666666668</v>
          </cell>
        </row>
      </sheetData>
      <sheetData sheetId="11">
        <row r="26">
          <cell r="D26">
            <v>1190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13.294787709403133</v>
          </cell>
        </row>
      </sheetData>
      <sheetData sheetId="1"/>
      <sheetData sheetId="2"/>
      <sheetData sheetId="3">
        <row r="150">
          <cell r="H150">
            <v>3282.701124082696</v>
          </cell>
        </row>
        <row r="166">
          <cell r="H166">
            <v>0.2415242504292861</v>
          </cell>
        </row>
      </sheetData>
      <sheetData sheetId="4"/>
      <sheetData sheetId="5"/>
      <sheetData sheetId="6">
        <row r="21">
          <cell r="D21">
            <v>349571</v>
          </cell>
        </row>
      </sheetData>
      <sheetData sheetId="7">
        <row r="21">
          <cell r="D21">
            <v>84808.333333333328</v>
          </cell>
        </row>
      </sheetData>
      <sheetData sheetId="8">
        <row r="16">
          <cell r="D16">
            <v>333.97799999999995</v>
          </cell>
        </row>
      </sheetData>
      <sheetData sheetId="9">
        <row r="26">
          <cell r="C26">
            <v>1719.0940000000003</v>
          </cell>
        </row>
      </sheetData>
      <sheetData sheetId="10">
        <row r="29">
          <cell r="D29">
            <v>468.65000000000003</v>
          </cell>
        </row>
      </sheetData>
      <sheetData sheetId="11">
        <row r="26">
          <cell r="D26">
            <v>1190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13.551860059331048</v>
          </cell>
        </row>
      </sheetData>
      <sheetData sheetId="1"/>
      <sheetData sheetId="2"/>
      <sheetData sheetId="3">
        <row r="150">
          <cell r="H150">
            <v>3279.6873826288083</v>
          </cell>
        </row>
        <row r="166">
          <cell r="H166">
            <v>0.24183823195484419</v>
          </cell>
        </row>
      </sheetData>
      <sheetData sheetId="4"/>
      <sheetData sheetId="5"/>
      <sheetData sheetId="6">
        <row r="21">
          <cell r="D21">
            <v>348000</v>
          </cell>
        </row>
      </sheetData>
      <sheetData sheetId="7">
        <row r="21">
          <cell r="D21">
            <v>84808.333333333328</v>
          </cell>
        </row>
      </sheetData>
      <sheetData sheetId="8">
        <row r="16">
          <cell r="D16">
            <v>333.97799999999995</v>
          </cell>
        </row>
      </sheetData>
      <sheetData sheetId="9">
        <row r="26">
          <cell r="C26">
            <v>1715.0940000000003</v>
          </cell>
        </row>
      </sheetData>
      <sheetData sheetId="10">
        <row r="29">
          <cell r="D29">
            <v>468.65000000000003</v>
          </cell>
        </row>
      </sheetData>
      <sheetData sheetId="11">
        <row r="26">
          <cell r="D26">
            <v>1190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13.558017958365154</v>
          </cell>
        </row>
      </sheetData>
      <sheetData sheetId="1"/>
      <sheetData sheetId="2"/>
      <sheetData sheetId="3">
        <row r="150">
          <cell r="H150">
            <v>3260.2285795407211</v>
          </cell>
        </row>
        <row r="166">
          <cell r="H166">
            <v>0.24227354077236291</v>
          </cell>
        </row>
      </sheetData>
      <sheetData sheetId="4"/>
      <sheetData sheetId="5"/>
      <sheetData sheetId="6">
        <row r="21">
          <cell r="D21">
            <v>345540</v>
          </cell>
        </row>
      </sheetData>
      <sheetData sheetId="7">
        <row r="21">
          <cell r="D21">
            <v>84808.333333333328</v>
          </cell>
        </row>
      </sheetData>
      <sheetData sheetId="8">
        <row r="16">
          <cell r="D16">
            <v>333.97799999999995</v>
          </cell>
        </row>
      </sheetData>
      <sheetData sheetId="9">
        <row r="26">
          <cell r="C26">
            <v>1715.0940000000003</v>
          </cell>
        </row>
      </sheetData>
      <sheetData sheetId="10">
        <row r="29">
          <cell r="D29">
            <v>468.65000000000003</v>
          </cell>
        </row>
      </sheetData>
      <sheetData sheetId="11">
        <row r="26">
          <cell r="D26">
            <v>1190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13.56862322892389</v>
          </cell>
        </row>
      </sheetData>
      <sheetData sheetId="1"/>
      <sheetData sheetId="2"/>
      <sheetData sheetId="3">
        <row r="157">
          <cell r="H157">
            <v>3277.6742288316091</v>
          </cell>
        </row>
        <row r="173">
          <cell r="H173">
            <v>0.24346068112214747</v>
          </cell>
        </row>
      </sheetData>
      <sheetData sheetId="4"/>
      <sheetData sheetId="5"/>
      <sheetData sheetId="6">
        <row r="21">
          <cell r="D21">
            <v>348000</v>
          </cell>
        </row>
      </sheetData>
      <sheetData sheetId="7">
        <row r="21">
          <cell r="D21">
            <v>84475</v>
          </cell>
        </row>
      </sheetData>
      <sheetData sheetId="8">
        <row r="16">
          <cell r="D16">
            <v>342.93799999999999</v>
          </cell>
        </row>
      </sheetData>
      <sheetData sheetId="9">
        <row r="26">
          <cell r="C26">
            <v>1707.0940000000003</v>
          </cell>
        </row>
      </sheetData>
      <sheetData sheetId="10">
        <row r="29">
          <cell r="D29">
            <v>468.65000000000003</v>
          </cell>
        </row>
      </sheetData>
      <sheetData sheetId="11">
        <row r="26">
          <cell r="D26">
            <v>1190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13.581686938040345</v>
          </cell>
        </row>
      </sheetData>
      <sheetData sheetId="1"/>
      <sheetData sheetId="2"/>
      <sheetData sheetId="3">
        <row r="157">
          <cell r="H157">
            <v>3280.3082863228015</v>
          </cell>
        </row>
        <row r="173">
          <cell r="H173">
            <v>0.24438583171041164</v>
          </cell>
        </row>
      </sheetData>
      <sheetData sheetId="4"/>
      <sheetData sheetId="5"/>
      <sheetData sheetId="6">
        <row r="21">
          <cell r="D21">
            <v>348333</v>
          </cell>
        </row>
      </sheetData>
      <sheetData sheetId="7">
        <row r="21">
          <cell r="D21">
            <v>84475</v>
          </cell>
        </row>
      </sheetData>
      <sheetData sheetId="8">
        <row r="16">
          <cell r="D16">
            <v>342.93799999999999</v>
          </cell>
        </row>
      </sheetData>
      <sheetData sheetId="9">
        <row r="26">
          <cell r="C26">
            <v>1667.2660000000001</v>
          </cell>
        </row>
      </sheetData>
      <sheetData sheetId="10">
        <row r="29">
          <cell r="D29">
            <v>468.65000000000003</v>
          </cell>
        </row>
      </sheetData>
      <sheetData sheetId="11">
        <row r="26">
          <cell r="D26">
            <v>1190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 por Distância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13.597763210389076</v>
          </cell>
        </row>
      </sheetData>
      <sheetData sheetId="1"/>
      <sheetData sheetId="2"/>
      <sheetData sheetId="3"/>
      <sheetData sheetId="4">
        <row r="157">
          <cell r="H157">
            <v>3261.8540637193423</v>
          </cell>
        </row>
        <row r="173">
          <cell r="H173">
            <v>0.24568107661847685</v>
          </cell>
        </row>
      </sheetData>
      <sheetData sheetId="5"/>
      <sheetData sheetId="6"/>
      <sheetData sheetId="7">
        <row r="21">
          <cell r="D21">
            <v>346000</v>
          </cell>
        </row>
      </sheetData>
      <sheetData sheetId="8">
        <row r="21">
          <cell r="D21">
            <v>84475</v>
          </cell>
        </row>
      </sheetData>
      <sheetData sheetId="9">
        <row r="16">
          <cell r="D16">
            <v>342.93799999999999</v>
          </cell>
        </row>
      </sheetData>
      <sheetData sheetId="10">
        <row r="26">
          <cell r="C26">
            <v>1667.2660000000001</v>
          </cell>
        </row>
      </sheetData>
      <sheetData sheetId="11">
        <row r="29">
          <cell r="D29">
            <v>468.65000000000003</v>
          </cell>
        </row>
      </sheetData>
      <sheetData sheetId="12">
        <row r="26">
          <cell r="D26">
            <v>1190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 por Distância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13.632829137289196</v>
          </cell>
        </row>
      </sheetData>
      <sheetData sheetId="1"/>
      <sheetData sheetId="2"/>
      <sheetData sheetId="3"/>
      <sheetData sheetId="4">
        <row r="157">
          <cell r="H157">
            <v>3264.2627216443493</v>
          </cell>
        </row>
        <row r="173">
          <cell r="H173">
            <v>0.2472042992935114</v>
          </cell>
        </row>
      </sheetData>
      <sheetData sheetId="5"/>
      <sheetData sheetId="6"/>
      <sheetData sheetId="7">
        <row r="21">
          <cell r="D21">
            <v>346000</v>
          </cell>
        </row>
      </sheetData>
      <sheetData sheetId="8">
        <row r="21">
          <cell r="D21">
            <v>84808.333333333328</v>
          </cell>
        </row>
      </sheetData>
      <sheetData sheetId="9">
        <row r="16">
          <cell r="D16">
            <v>342.93799999999999</v>
          </cell>
        </row>
      </sheetData>
      <sheetData sheetId="10">
        <row r="26">
          <cell r="C26">
            <v>1660.884</v>
          </cell>
        </row>
      </sheetData>
      <sheetData sheetId="11">
        <row r="29">
          <cell r="D29">
            <v>468.65000000000003</v>
          </cell>
        </row>
      </sheetData>
      <sheetData sheetId="12">
        <row r="26">
          <cell r="D26">
            <v>1240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730.58482930872606</v>
          </cell>
        </row>
      </sheetData>
      <sheetData sheetId="3">
        <row r="8">
          <cell r="E8">
            <v>580.60878411459942</v>
          </cell>
        </row>
      </sheetData>
      <sheetData sheetId="4"/>
      <sheetData sheetId="5">
        <row r="8">
          <cell r="E8">
            <v>149.9760451941267</v>
          </cell>
        </row>
      </sheetData>
      <sheetData sheetId="6"/>
      <sheetData sheetId="7">
        <row r="27">
          <cell r="H27">
            <v>210625</v>
          </cell>
        </row>
      </sheetData>
      <sheetData sheetId="8">
        <row r="28">
          <cell r="H28">
            <v>116333.2</v>
          </cell>
        </row>
      </sheetData>
      <sheetData sheetId="9">
        <row r="5">
          <cell r="I5">
            <v>435.83294971734841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2.4409999999999998</v>
          </cell>
        </row>
      </sheetData>
      <sheetData sheetId="21"/>
      <sheetData sheetId="22"/>
      <sheetData sheetId="23">
        <row r="9">
          <cell r="D9">
            <v>3.8880000000000003</v>
          </cell>
        </row>
      </sheetData>
      <sheetData sheetId="24"/>
      <sheetData sheetId="25"/>
      <sheetData sheetId="26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 por Distância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13.684441821337709</v>
          </cell>
        </row>
      </sheetData>
      <sheetData sheetId="1"/>
      <sheetData sheetId="2"/>
      <sheetData sheetId="3"/>
      <sheetData sheetId="4">
        <row r="157">
          <cell r="H157">
            <v>3310.1412004699223</v>
          </cell>
        </row>
        <row r="173">
          <cell r="H173">
            <v>0.25086292292305534</v>
          </cell>
        </row>
      </sheetData>
      <sheetData sheetId="5"/>
      <sheetData sheetId="6"/>
      <sheetData sheetId="7">
        <row r="21">
          <cell r="D21">
            <v>351800</v>
          </cell>
        </row>
      </sheetData>
      <sheetData sheetId="8">
        <row r="21">
          <cell r="D21">
            <v>84808.333333333328</v>
          </cell>
        </row>
      </sheetData>
      <sheetData sheetId="9">
        <row r="16">
          <cell r="D16">
            <v>342.93799999999999</v>
          </cell>
        </row>
      </sheetData>
      <sheetData sheetId="10">
        <row r="26">
          <cell r="C26">
            <v>1706.402</v>
          </cell>
        </row>
      </sheetData>
      <sheetData sheetId="11">
        <row r="29">
          <cell r="D29">
            <v>474.48333333333335</v>
          </cell>
        </row>
      </sheetData>
      <sheetData sheetId="12">
        <row r="26">
          <cell r="D26">
            <v>1240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 por Distância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13.751643143277789</v>
          </cell>
        </row>
      </sheetData>
      <sheetData sheetId="1"/>
      <sheetData sheetId="2"/>
      <sheetData sheetId="3"/>
      <sheetData sheetId="4">
        <row r="157">
          <cell r="H157">
            <v>3328.8169053849524</v>
          </cell>
        </row>
        <row r="173">
          <cell r="H173">
            <v>0.25377293282896279</v>
          </cell>
        </row>
      </sheetData>
      <sheetData sheetId="5"/>
      <sheetData sheetId="6"/>
      <sheetData sheetId="7">
        <row r="21">
          <cell r="D21">
            <v>354161</v>
          </cell>
        </row>
      </sheetData>
      <sheetData sheetId="8">
        <row r="21">
          <cell r="D21">
            <v>84808.333333333328</v>
          </cell>
        </row>
      </sheetData>
      <sheetData sheetId="9">
        <row r="16">
          <cell r="D16">
            <v>342.93799999999999</v>
          </cell>
        </row>
      </sheetData>
      <sheetData sheetId="10">
        <row r="26">
          <cell r="C26">
            <v>1736.5940000000003</v>
          </cell>
        </row>
      </sheetData>
      <sheetData sheetId="11">
        <row r="29">
          <cell r="D29">
            <v>475.98333333333335</v>
          </cell>
        </row>
      </sheetData>
      <sheetData sheetId="12">
        <row r="26">
          <cell r="D26">
            <v>1240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 por Distância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13.805701265478609</v>
          </cell>
        </row>
      </sheetData>
      <sheetData sheetId="1"/>
      <sheetData sheetId="2"/>
      <sheetData sheetId="3"/>
      <sheetData sheetId="4">
        <row r="157">
          <cell r="H157">
            <v>3299.8580931469482</v>
          </cell>
        </row>
        <row r="173">
          <cell r="H173">
            <v>0.25760490411468012</v>
          </cell>
        </row>
      </sheetData>
      <sheetData sheetId="5"/>
      <sheetData sheetId="6"/>
      <sheetData sheetId="7">
        <row r="21">
          <cell r="D21">
            <v>350500</v>
          </cell>
        </row>
      </sheetData>
      <sheetData sheetId="8">
        <row r="21">
          <cell r="D21">
            <v>84808.333333333328</v>
          </cell>
        </row>
      </sheetData>
      <sheetData sheetId="9">
        <row r="16">
          <cell r="D16">
            <v>342.93799999999999</v>
          </cell>
        </row>
      </sheetData>
      <sheetData sheetId="10">
        <row r="26">
          <cell r="C26">
            <v>1709.0760000000002</v>
          </cell>
        </row>
      </sheetData>
      <sheetData sheetId="11">
        <row r="29">
          <cell r="D29">
            <v>475.98333333333335</v>
          </cell>
        </row>
      </sheetData>
      <sheetData sheetId="12">
        <row r="26">
          <cell r="D26">
            <v>1240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 por Distância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14.290315539454628</v>
          </cell>
        </row>
      </sheetData>
      <sheetData sheetId="1"/>
      <sheetData sheetId="2"/>
      <sheetData sheetId="3"/>
      <sheetData sheetId="4">
        <row r="157">
          <cell r="H157">
            <v>3313.9934106747592</v>
          </cell>
        </row>
        <row r="173">
          <cell r="H173">
            <v>0.2594338989338944</v>
          </cell>
        </row>
      </sheetData>
      <sheetData sheetId="5"/>
      <sheetData sheetId="6"/>
      <sheetData sheetId="7">
        <row r="21">
          <cell r="D21">
            <v>352287</v>
          </cell>
        </row>
      </sheetData>
      <sheetData sheetId="8">
        <row r="21">
          <cell r="D21">
            <v>84808.333333333328</v>
          </cell>
        </row>
      </sheetData>
      <sheetData sheetId="9">
        <row r="16">
          <cell r="D16">
            <v>342.93799999999999</v>
          </cell>
        </row>
      </sheetData>
      <sheetData sheetId="10">
        <row r="26">
          <cell r="C26">
            <v>1709.0760000000002</v>
          </cell>
        </row>
      </sheetData>
      <sheetData sheetId="11">
        <row r="29">
          <cell r="D29">
            <v>475.98333333333335</v>
          </cell>
        </row>
      </sheetData>
      <sheetData sheetId="12">
        <row r="26">
          <cell r="D26">
            <v>1240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 por Distância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14.377868093641005</v>
          </cell>
        </row>
      </sheetData>
      <sheetData sheetId="1"/>
      <sheetData sheetId="2"/>
      <sheetData sheetId="3"/>
      <sheetData sheetId="4">
        <row r="157">
          <cell r="H157">
            <v>3284.3147809241468</v>
          </cell>
        </row>
        <row r="173">
          <cell r="H173">
            <v>0.26200229453333995</v>
          </cell>
        </row>
      </sheetData>
      <sheetData sheetId="5"/>
      <sheetData sheetId="6"/>
      <sheetData sheetId="7">
        <row r="21">
          <cell r="D21">
            <v>348535</v>
          </cell>
        </row>
      </sheetData>
      <sheetData sheetId="8">
        <row r="21">
          <cell r="D21">
            <v>84808.333333333328</v>
          </cell>
        </row>
      </sheetData>
      <sheetData sheetId="9">
        <row r="16">
          <cell r="D16">
            <v>364.93799999999999</v>
          </cell>
        </row>
      </sheetData>
      <sheetData sheetId="10">
        <row r="26">
          <cell r="C26">
            <v>1722.6220000000001</v>
          </cell>
        </row>
      </sheetData>
      <sheetData sheetId="11">
        <row r="29">
          <cell r="D29">
            <v>475.98333333333335</v>
          </cell>
        </row>
      </sheetData>
      <sheetData sheetId="12">
        <row r="26">
          <cell r="D26">
            <v>1240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 por Distância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14.742116969198408</v>
          </cell>
        </row>
      </sheetData>
      <sheetData sheetId="1"/>
      <sheetData sheetId="2"/>
      <sheetData sheetId="3"/>
      <sheetData sheetId="4">
        <row r="157">
          <cell r="H157">
            <v>3284.037928034682</v>
          </cell>
        </row>
        <row r="173">
          <cell r="H173">
            <v>0.2640197122012467</v>
          </cell>
        </row>
      </sheetData>
      <sheetData sheetId="5"/>
      <sheetData sheetId="6"/>
      <sheetData sheetId="7">
        <row r="21">
          <cell r="D21">
            <v>348500</v>
          </cell>
        </row>
      </sheetData>
      <sheetData sheetId="8">
        <row r="21">
          <cell r="D21">
            <v>84808.333333333328</v>
          </cell>
        </row>
      </sheetData>
      <sheetData sheetId="9">
        <row r="16">
          <cell r="D16">
            <v>364.93799999999999</v>
          </cell>
        </row>
      </sheetData>
      <sheetData sheetId="10">
        <row r="26">
          <cell r="C26">
            <v>1781.4540000000002</v>
          </cell>
        </row>
      </sheetData>
      <sheetData sheetId="11">
        <row r="29">
          <cell r="D29">
            <v>475.98333333333335</v>
          </cell>
        </row>
      </sheetData>
      <sheetData sheetId="12">
        <row r="26">
          <cell r="D26">
            <v>1240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 por Distância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14.763719421578211</v>
          </cell>
        </row>
      </sheetData>
      <sheetData sheetId="1"/>
      <sheetData sheetId="2"/>
      <sheetData sheetId="3"/>
      <sheetData sheetId="4">
        <row r="157">
          <cell r="H157">
            <v>3298.0229539939255</v>
          </cell>
        </row>
        <row r="173">
          <cell r="H173">
            <v>0.26555102653201396</v>
          </cell>
        </row>
      </sheetData>
      <sheetData sheetId="5"/>
      <sheetData sheetId="6"/>
      <sheetData sheetId="7">
        <row r="21">
          <cell r="D21">
            <v>350268</v>
          </cell>
        </row>
      </sheetData>
      <sheetData sheetId="8">
        <row r="21">
          <cell r="D21">
            <v>84808.333333333328</v>
          </cell>
        </row>
      </sheetData>
      <sheetData sheetId="9">
        <row r="16">
          <cell r="D16">
            <v>364.93799999999999</v>
          </cell>
        </row>
      </sheetData>
      <sheetData sheetId="10">
        <row r="26">
          <cell r="C26">
            <v>1780.5280000000002</v>
          </cell>
        </row>
      </sheetData>
      <sheetData sheetId="11">
        <row r="29">
          <cell r="D29">
            <v>475.98333333333335</v>
          </cell>
        </row>
      </sheetData>
      <sheetData sheetId="12">
        <row r="26">
          <cell r="D26">
            <v>1240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 por Distância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14.773084829597009</v>
          </cell>
        </row>
      </sheetData>
      <sheetData sheetId="1"/>
      <sheetData sheetId="2"/>
      <sheetData sheetId="3"/>
      <sheetData sheetId="4">
        <row r="157">
          <cell r="H157">
            <v>3297.6195397835631</v>
          </cell>
        </row>
        <row r="173">
          <cell r="H173">
            <v>0.26621490409834397</v>
          </cell>
        </row>
      </sheetData>
      <sheetData sheetId="5"/>
      <sheetData sheetId="6"/>
      <sheetData sheetId="7">
        <row r="21">
          <cell r="D21">
            <v>350217</v>
          </cell>
        </row>
      </sheetData>
      <sheetData sheetId="8">
        <row r="21">
          <cell r="D21">
            <v>84808.333333333328</v>
          </cell>
        </row>
      </sheetData>
      <sheetData sheetId="9">
        <row r="16">
          <cell r="D16">
            <v>364.93799999999999</v>
          </cell>
        </row>
      </sheetData>
      <sheetData sheetId="10">
        <row r="26">
          <cell r="C26">
            <v>1758.2580000000003</v>
          </cell>
        </row>
      </sheetData>
      <sheetData sheetId="11">
        <row r="29">
          <cell r="D29">
            <v>475.98333333333335</v>
          </cell>
        </row>
      </sheetData>
      <sheetData sheetId="12">
        <row r="26">
          <cell r="D26">
            <v>1240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 por Distância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14.773084829597009</v>
          </cell>
        </row>
      </sheetData>
      <sheetData sheetId="1"/>
      <sheetData sheetId="2"/>
      <sheetData sheetId="3"/>
      <sheetData sheetId="4">
        <row r="157">
          <cell r="H157">
            <v>3297.6195397835631</v>
          </cell>
        </row>
        <row r="173">
          <cell r="H173">
            <v>0.26757260010924555</v>
          </cell>
        </row>
      </sheetData>
      <sheetData sheetId="5"/>
      <sheetData sheetId="6"/>
      <sheetData sheetId="7">
        <row r="21">
          <cell r="D21">
            <v>350217</v>
          </cell>
        </row>
      </sheetData>
      <sheetData sheetId="8">
        <row r="21">
          <cell r="D21">
            <v>84808.333333333328</v>
          </cell>
        </row>
      </sheetData>
      <sheetData sheetId="9">
        <row r="16">
          <cell r="D16">
            <v>364.93799999999999</v>
          </cell>
        </row>
      </sheetData>
      <sheetData sheetId="10">
        <row r="26">
          <cell r="C26">
            <v>1694.19</v>
          </cell>
        </row>
      </sheetData>
      <sheetData sheetId="11">
        <row r="29">
          <cell r="D29">
            <v>475.98333333333335</v>
          </cell>
        </row>
      </sheetData>
      <sheetData sheetId="12">
        <row r="26">
          <cell r="D26">
            <v>1240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 por Distância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14.802002399936642</v>
          </cell>
        </row>
      </sheetData>
      <sheetData sheetId="1"/>
      <sheetData sheetId="2"/>
      <sheetData sheetId="3"/>
      <sheetData sheetId="4">
        <row r="157">
          <cell r="H157">
            <v>3323.5962508979046</v>
          </cell>
        </row>
        <row r="173">
          <cell r="H173">
            <v>0.26963290913008675</v>
          </cell>
        </row>
      </sheetData>
      <sheetData sheetId="5"/>
      <sheetData sheetId="6"/>
      <sheetData sheetId="7">
        <row r="21">
          <cell r="D21">
            <v>353501</v>
          </cell>
        </row>
      </sheetData>
      <sheetData sheetId="8">
        <row r="21">
          <cell r="D21">
            <v>84808.333333333328</v>
          </cell>
        </row>
      </sheetData>
      <sheetData sheetId="9">
        <row r="16">
          <cell r="D16">
            <v>364.93799999999999</v>
          </cell>
        </row>
      </sheetData>
      <sheetData sheetId="10">
        <row r="26">
          <cell r="C26">
            <v>1726.328</v>
          </cell>
        </row>
      </sheetData>
      <sheetData sheetId="11">
        <row r="29">
          <cell r="D29">
            <v>475.98333333333335</v>
          </cell>
        </row>
      </sheetData>
      <sheetData sheetId="12">
        <row r="26">
          <cell r="D26">
            <v>1240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ral"/>
      <sheetName val="Resumo"/>
      <sheetName val="Diesel_S500"/>
      <sheetName val="Diesel_S10"/>
      <sheetName val="ARLA_32"/>
      <sheetName val="ANP"/>
      <sheetName val="ANP S-50_S-10  "/>
      <sheetName val="aumentos comb"/>
      <sheetName val="câmbio"/>
      <sheetName val="cárter"/>
      <sheetName val="mnt_Atego 2426"/>
      <sheetName val="mnt_ACCELO 815"/>
      <sheetName val="motrod"/>
      <sheetName val="moturb"/>
      <sheetName val="ajud"/>
      <sheetName val="DAT"/>
      <sheetName val="MB ATEGO 2426"/>
      <sheetName val="MB ACCELO 815 "/>
      <sheetName val="cartru"/>
      <sheetName val="carlev"/>
      <sheetName val="rodoartq"/>
      <sheetName val="rodoarlv"/>
      <sheetName val="Pn1000"/>
      <sheetName val="Pn750"/>
      <sheetName val="camara1000"/>
      <sheetName val="camara750"/>
      <sheetName val="Prot1000"/>
      <sheetName val="Prot750"/>
      <sheetName val="Pn275"/>
      <sheetName val="Pn215"/>
      <sheetName val="Pn205"/>
      <sheetName val="Rec1000"/>
      <sheetName val="Rec750"/>
      <sheetName val="Lavtq"/>
      <sheetName val="Lavlv"/>
      <sheetName val="Seg_ATEGO 2426"/>
      <sheetName val="Seg_ACCELO 815"/>
      <sheetName val="peças"/>
      <sheetName val="mecânico"/>
      <sheetName val="MB12(13)18"/>
      <sheetName val="MB1620"/>
      <sheetName val="camara900"/>
      <sheetName val="eixo"/>
      <sheetName val="Pn900"/>
      <sheetName val="Prot900"/>
      <sheetName val="Rec900"/>
      <sheetName val="Seg1218"/>
      <sheetName val="GRISR"/>
      <sheetName val="GRISCE"/>
    </sheetNames>
    <sheetDataSet>
      <sheetData sheetId="0">
        <row r="87">
          <cell r="K87">
            <v>9.08</v>
          </cell>
          <cell r="M87">
            <v>8.58</v>
          </cell>
        </row>
        <row r="88">
          <cell r="K88">
            <v>8.85</v>
          </cell>
          <cell r="M88">
            <v>8.6300000000000008</v>
          </cell>
        </row>
        <row r="89">
          <cell r="K89">
            <v>8.85</v>
          </cell>
          <cell r="M89">
            <v>8.75</v>
          </cell>
        </row>
        <row r="90">
          <cell r="K90">
            <v>8.83</v>
          </cell>
          <cell r="M90">
            <v>9.0399999999999991</v>
          </cell>
        </row>
        <row r="91">
          <cell r="K91">
            <v>8.76</v>
          </cell>
          <cell r="M91">
            <v>8.99</v>
          </cell>
        </row>
        <row r="92">
          <cell r="K92">
            <v>8.69</v>
          </cell>
          <cell r="M92">
            <v>9.15</v>
          </cell>
        </row>
        <row r="93">
          <cell r="K93">
            <v>8.5299999999999994</v>
          </cell>
          <cell r="M93">
            <v>9.31</v>
          </cell>
        </row>
        <row r="94">
          <cell r="K94">
            <v>8.6199999999999992</v>
          </cell>
          <cell r="M94">
            <v>8.59</v>
          </cell>
        </row>
        <row r="95">
          <cell r="K95">
            <v>8.43</v>
          </cell>
          <cell r="M95">
            <v>9.27</v>
          </cell>
        </row>
        <row r="96">
          <cell r="I96">
            <v>9.27</v>
          </cell>
          <cell r="K96">
            <v>8.52</v>
          </cell>
          <cell r="M96">
            <v>9.26</v>
          </cell>
        </row>
        <row r="97">
          <cell r="I97">
            <v>9.2200000000000006</v>
          </cell>
          <cell r="K97">
            <v>8.51</v>
          </cell>
          <cell r="M97">
            <v>9.18</v>
          </cell>
        </row>
        <row r="98">
          <cell r="I98">
            <v>8.42</v>
          </cell>
          <cell r="K98">
            <v>8.52</v>
          </cell>
          <cell r="M98">
            <v>9.3375000000000004</v>
          </cell>
        </row>
        <row r="102">
          <cell r="C102">
            <v>9.1</v>
          </cell>
          <cell r="E102">
            <v>11.02</v>
          </cell>
          <cell r="G102">
            <v>10.403124999999999</v>
          </cell>
          <cell r="I102">
            <v>11.25</v>
          </cell>
          <cell r="K102">
            <v>11.61</v>
          </cell>
          <cell r="M102">
            <v>17.914285714285715</v>
          </cell>
        </row>
        <row r="103">
          <cell r="C103">
            <v>9.0500000000000007</v>
          </cell>
          <cell r="E103">
            <v>11.21</v>
          </cell>
          <cell r="G103">
            <v>10.5</v>
          </cell>
          <cell r="I103">
            <v>11.2</v>
          </cell>
          <cell r="K103">
            <v>14.64</v>
          </cell>
          <cell r="M103">
            <v>17.914285714285715</v>
          </cell>
        </row>
        <row r="104">
          <cell r="C104">
            <v>9.49</v>
          </cell>
          <cell r="E104">
            <v>11.14</v>
          </cell>
          <cell r="G104">
            <v>10.55</v>
          </cell>
          <cell r="I104">
            <v>11.25</v>
          </cell>
          <cell r="K104">
            <v>14</v>
          </cell>
          <cell r="M104">
            <v>17.914285714285715</v>
          </cell>
        </row>
        <row r="105">
          <cell r="C105">
            <v>9.24</v>
          </cell>
          <cell r="E105">
            <v>10.98</v>
          </cell>
          <cell r="G105">
            <v>10.646875</v>
          </cell>
          <cell r="I105">
            <v>11.3</v>
          </cell>
          <cell r="K105">
            <v>14</v>
          </cell>
          <cell r="M105">
            <v>18</v>
          </cell>
        </row>
        <row r="106">
          <cell r="C106">
            <v>9.24</v>
          </cell>
          <cell r="E106">
            <v>10.73</v>
          </cell>
          <cell r="G106">
            <v>10.93125</v>
          </cell>
          <cell r="I106">
            <v>11.290625</v>
          </cell>
          <cell r="K106">
            <v>14</v>
          </cell>
          <cell r="M106">
            <v>18</v>
          </cell>
        </row>
        <row r="107">
          <cell r="C107">
            <v>9.17</v>
          </cell>
          <cell r="E107">
            <v>10.7857</v>
          </cell>
          <cell r="G107">
            <v>11.1</v>
          </cell>
          <cell r="I107">
            <v>11.2</v>
          </cell>
          <cell r="K107">
            <v>14</v>
          </cell>
          <cell r="M107">
            <v>18</v>
          </cell>
        </row>
        <row r="108">
          <cell r="C108">
            <v>9.4700000000000006</v>
          </cell>
          <cell r="E108">
            <v>10.703099999999999</v>
          </cell>
          <cell r="G108">
            <v>11.15</v>
          </cell>
          <cell r="I108">
            <v>11.3</v>
          </cell>
          <cell r="K108">
            <v>16.64</v>
          </cell>
          <cell r="M108">
            <v>17.899999999999999</v>
          </cell>
        </row>
        <row r="109">
          <cell r="C109">
            <v>9</v>
          </cell>
          <cell r="E109">
            <v>10.636875</v>
          </cell>
          <cell r="G109">
            <v>11.15</v>
          </cell>
          <cell r="I109">
            <v>11.38</v>
          </cell>
          <cell r="K109">
            <v>16.64</v>
          </cell>
          <cell r="M109">
            <v>18.899999999999999</v>
          </cell>
        </row>
        <row r="110">
          <cell r="C110">
            <v>9.41</v>
          </cell>
          <cell r="E110">
            <v>10.649374999999999</v>
          </cell>
          <cell r="G110">
            <v>11.2</v>
          </cell>
          <cell r="I110">
            <v>11.45</v>
          </cell>
          <cell r="K110">
            <v>16.98</v>
          </cell>
          <cell r="M110">
            <v>18.899999999999999</v>
          </cell>
        </row>
        <row r="111">
          <cell r="C111">
            <v>10.01</v>
          </cell>
          <cell r="E111">
            <v>10.599375</v>
          </cell>
          <cell r="G111">
            <v>11.35</v>
          </cell>
          <cell r="I111">
            <v>11.7</v>
          </cell>
          <cell r="K111">
            <v>16.850000000000001</v>
          </cell>
          <cell r="M111">
            <v>18.899999999999999</v>
          </cell>
        </row>
        <row r="112">
          <cell r="C112">
            <v>10.039999999999999</v>
          </cell>
          <cell r="E112">
            <v>10.606249999999999</v>
          </cell>
          <cell r="G112">
            <v>11.4</v>
          </cell>
          <cell r="I112">
            <v>11.85</v>
          </cell>
          <cell r="K112">
            <v>16.850000000000001</v>
          </cell>
          <cell r="M112">
            <v>18.899999999999999</v>
          </cell>
        </row>
        <row r="113">
          <cell r="C113">
            <v>9.98</v>
          </cell>
          <cell r="E113">
            <v>10.499375000000001</v>
          </cell>
          <cell r="G113">
            <v>11.3</v>
          </cell>
          <cell r="I113">
            <v>11.95</v>
          </cell>
          <cell r="K113">
            <v>17.914285714285715</v>
          </cell>
          <cell r="M113">
            <v>18.899999999999999</v>
          </cell>
        </row>
        <row r="117">
          <cell r="C117">
            <v>19.042857142857144</v>
          </cell>
          <cell r="E117">
            <v>20.100000000000001</v>
          </cell>
          <cell r="G117">
            <v>20.228571428571431</v>
          </cell>
          <cell r="I117">
            <v>20.6</v>
          </cell>
          <cell r="K117">
            <v>20.75714285714286</v>
          </cell>
          <cell r="M117">
            <v>21.142857142857146</v>
          </cell>
          <cell r="O117">
            <v>22.157142857142862</v>
          </cell>
          <cell r="Q117">
            <v>22.642857142857146</v>
          </cell>
          <cell r="S117">
            <v>23.214285714285719</v>
          </cell>
        </row>
        <row r="118">
          <cell r="C118">
            <v>19.042857142857144</v>
          </cell>
          <cell r="E118">
            <v>20.100000000000001</v>
          </cell>
          <cell r="G118">
            <v>20.228571428571431</v>
          </cell>
          <cell r="I118">
            <v>20.628571428571433</v>
          </cell>
          <cell r="K118">
            <v>20.75714285714286</v>
          </cell>
          <cell r="M118">
            <v>21.142857142857146</v>
          </cell>
          <cell r="O118">
            <v>22.157142857142862</v>
          </cell>
          <cell r="Q118">
            <v>23.214285714285719</v>
          </cell>
          <cell r="S118">
            <v>24.985714285714288</v>
          </cell>
        </row>
        <row r="119">
          <cell r="C119">
            <v>19.190000000000001</v>
          </cell>
          <cell r="E119">
            <v>20.100000000000001</v>
          </cell>
          <cell r="G119">
            <v>20.228571428571431</v>
          </cell>
          <cell r="I119">
            <v>20.628571428571433</v>
          </cell>
          <cell r="K119">
            <v>20.75714285714286</v>
          </cell>
          <cell r="M119">
            <v>21.485714285714288</v>
          </cell>
          <cell r="O119">
            <v>22.157142857142862</v>
          </cell>
          <cell r="Q119">
            <v>23.214285714285719</v>
          </cell>
          <cell r="S119">
            <v>24.985714285714288</v>
          </cell>
        </row>
        <row r="120">
          <cell r="C120">
            <v>19.190000000000001</v>
          </cell>
          <cell r="E120">
            <v>20.100000000000001</v>
          </cell>
          <cell r="G120">
            <v>20.228571428571431</v>
          </cell>
          <cell r="I120">
            <v>20.628571428571433</v>
          </cell>
          <cell r="K120">
            <v>21.142857142857146</v>
          </cell>
          <cell r="M120">
            <v>21.485714285714288</v>
          </cell>
          <cell r="O120">
            <v>22.157142857142862</v>
          </cell>
          <cell r="Q120">
            <v>23.214285714285719</v>
          </cell>
          <cell r="S120">
            <v>24.985714285714288</v>
          </cell>
        </row>
        <row r="121">
          <cell r="C121">
            <v>18.671428571428574</v>
          </cell>
          <cell r="E121">
            <v>20.157142857142862</v>
          </cell>
          <cell r="G121">
            <v>20.228571428571431</v>
          </cell>
          <cell r="I121">
            <v>20.628571428571433</v>
          </cell>
          <cell r="K121">
            <v>21.142857142857146</v>
          </cell>
          <cell r="M121">
            <v>21.485714285714288</v>
          </cell>
          <cell r="O121">
            <v>22.157142857142862</v>
          </cell>
          <cell r="Q121">
            <v>23.214285714285719</v>
          </cell>
          <cell r="S121">
            <v>24.985714285714288</v>
          </cell>
        </row>
        <row r="122">
          <cell r="C122">
            <v>18.671428571428574</v>
          </cell>
          <cell r="E122">
            <v>20.157142857142862</v>
          </cell>
          <cell r="G122">
            <v>20.228571428571431</v>
          </cell>
          <cell r="I122">
            <v>20.628571428571433</v>
          </cell>
          <cell r="K122">
            <v>21.142857142857146</v>
          </cell>
          <cell r="M122">
            <v>21.485714285714288</v>
          </cell>
          <cell r="O122">
            <v>22.642857142857146</v>
          </cell>
          <cell r="Q122">
            <v>23.214285714285719</v>
          </cell>
          <cell r="S122">
            <v>24.985714285714288</v>
          </cell>
        </row>
        <row r="123">
          <cell r="C123">
            <v>18.671428571428574</v>
          </cell>
          <cell r="E123">
            <v>20.014285714285716</v>
          </cell>
          <cell r="G123">
            <v>20.228571428571431</v>
          </cell>
          <cell r="I123">
            <v>20.628571428571433</v>
          </cell>
          <cell r="K123">
            <v>21.142857142857146</v>
          </cell>
          <cell r="M123">
            <v>21.485714285714288</v>
          </cell>
          <cell r="O123">
            <v>22.642857142857146</v>
          </cell>
          <cell r="Q123">
            <v>23.214285714285719</v>
          </cell>
          <cell r="S123">
            <v>24.985714285714288</v>
          </cell>
        </row>
        <row r="124">
          <cell r="C124">
            <v>18.671428571428574</v>
          </cell>
          <cell r="E124">
            <v>20.014285714285716</v>
          </cell>
          <cell r="G124">
            <v>20.228571428571431</v>
          </cell>
          <cell r="I124">
            <v>20.75714285714286</v>
          </cell>
          <cell r="K124">
            <v>21.142857142857146</v>
          </cell>
          <cell r="M124">
            <v>21.485714285714288</v>
          </cell>
          <cell r="O124">
            <v>22.642857142857146</v>
          </cell>
          <cell r="Q124">
            <v>23.214285714285719</v>
          </cell>
          <cell r="S124">
            <v>24.985714285714288</v>
          </cell>
        </row>
        <row r="125">
          <cell r="C125">
            <v>18.671428571428574</v>
          </cell>
          <cell r="E125">
            <v>20.014285714285716</v>
          </cell>
          <cell r="G125">
            <v>20.228571428571431</v>
          </cell>
          <cell r="I125">
            <v>20.75714285714286</v>
          </cell>
          <cell r="K125">
            <v>21.142857142857146</v>
          </cell>
          <cell r="M125">
            <v>21.485714285714288</v>
          </cell>
          <cell r="O125">
            <v>22.642857142857146</v>
          </cell>
          <cell r="Q125">
            <v>23.214285714285719</v>
          </cell>
          <cell r="S125">
            <v>24.985714285714288</v>
          </cell>
        </row>
        <row r="126">
          <cell r="C126">
            <v>20.100000000000001</v>
          </cell>
          <cell r="E126">
            <v>20.014285714285716</v>
          </cell>
          <cell r="G126">
            <v>20.228571428571431</v>
          </cell>
          <cell r="I126">
            <v>20.75714285714286</v>
          </cell>
          <cell r="K126">
            <v>21.142857142857146</v>
          </cell>
          <cell r="M126">
            <v>21.485714285714288</v>
          </cell>
          <cell r="O126">
            <v>22.642857142857146</v>
          </cell>
          <cell r="Q126">
            <v>23.214285714285719</v>
          </cell>
        </row>
        <row r="127">
          <cell r="C127">
            <v>20.100000000000001</v>
          </cell>
          <cell r="E127">
            <v>20.014285714285716</v>
          </cell>
          <cell r="G127">
            <v>20.228571428571431</v>
          </cell>
          <cell r="I127">
            <v>20.75714285714286</v>
          </cell>
          <cell r="K127">
            <v>21.142857142857146</v>
          </cell>
          <cell r="M127">
            <v>22.157142857142862</v>
          </cell>
          <cell r="O127">
            <v>22.642857142857146</v>
          </cell>
          <cell r="Q127">
            <v>23.214285714285719</v>
          </cell>
        </row>
        <row r="128">
          <cell r="C128">
            <v>20.100000000000001</v>
          </cell>
          <cell r="E128">
            <v>20.228571428571431</v>
          </cell>
          <cell r="G128">
            <v>20.228571428571431</v>
          </cell>
          <cell r="I128">
            <v>20.75714285714286</v>
          </cell>
          <cell r="K128">
            <v>21.142857142857146</v>
          </cell>
          <cell r="M128">
            <v>22.157142857142862</v>
          </cell>
          <cell r="O128">
            <v>22.642857142857146</v>
          </cell>
          <cell r="Q128">
            <v>23.214285714285719</v>
          </cell>
        </row>
      </sheetData>
      <sheetData sheetId="1"/>
      <sheetData sheetId="2">
        <row r="119">
          <cell r="C119">
            <v>1.3553999999999999</v>
          </cell>
        </row>
        <row r="120">
          <cell r="C120">
            <v>1.3560000000000001</v>
          </cell>
        </row>
        <row r="121">
          <cell r="C121">
            <v>1.3464</v>
          </cell>
        </row>
        <row r="122">
          <cell r="C122">
            <v>1.3319000000000001</v>
          </cell>
        </row>
        <row r="123">
          <cell r="C123">
            <v>1.3371999999999999</v>
          </cell>
        </row>
        <row r="124">
          <cell r="C124">
            <v>1.3304</v>
          </cell>
        </row>
        <row r="125">
          <cell r="C125">
            <v>1.3284</v>
          </cell>
        </row>
        <row r="126">
          <cell r="C126">
            <v>1.3229</v>
          </cell>
        </row>
        <row r="127">
          <cell r="C127">
            <v>1.4466000000000001</v>
          </cell>
        </row>
        <row r="128">
          <cell r="C128">
            <v>1.4466000000000001</v>
          </cell>
        </row>
        <row r="129">
          <cell r="C129">
            <v>1.4475</v>
          </cell>
        </row>
        <row r="130">
          <cell r="C130">
            <v>1.4407000000000001</v>
          </cell>
        </row>
        <row r="131">
          <cell r="C131">
            <v>1.5230999999999999</v>
          </cell>
        </row>
        <row r="132">
          <cell r="C132">
            <v>1.5259</v>
          </cell>
        </row>
        <row r="133">
          <cell r="C133">
            <v>1.6366000000000001</v>
          </cell>
        </row>
        <row r="134">
          <cell r="C134">
            <v>1.6359999999999999</v>
          </cell>
        </row>
        <row r="135">
          <cell r="C135">
            <v>1.6398999999999999</v>
          </cell>
        </row>
        <row r="136">
          <cell r="C136">
            <v>1.643</v>
          </cell>
        </row>
        <row r="137">
          <cell r="C137">
            <v>1.6386000000000001</v>
          </cell>
        </row>
        <row r="138">
          <cell r="C138">
            <v>1.6569</v>
          </cell>
        </row>
        <row r="139">
          <cell r="C139">
            <v>1.6478999999999999</v>
          </cell>
        </row>
        <row r="140">
          <cell r="C140">
            <v>1.653</v>
          </cell>
        </row>
        <row r="141">
          <cell r="C141">
            <v>1.6459999999999999</v>
          </cell>
        </row>
        <row r="142">
          <cell r="C142">
            <v>1.8149</v>
          </cell>
        </row>
        <row r="143">
          <cell r="C143">
            <v>1.84</v>
          </cell>
        </row>
        <row r="144">
          <cell r="C144">
            <v>1.83</v>
          </cell>
        </row>
        <row r="145">
          <cell r="C145">
            <v>1.8327500000000001</v>
          </cell>
        </row>
        <row r="146">
          <cell r="C146">
            <v>1.8360000000000001</v>
          </cell>
        </row>
        <row r="147">
          <cell r="C147">
            <v>1.837</v>
          </cell>
        </row>
        <row r="148">
          <cell r="C148">
            <v>1.8240000000000001</v>
          </cell>
        </row>
        <row r="149">
          <cell r="C149">
            <v>1.821</v>
          </cell>
        </row>
        <row r="150">
          <cell r="C150">
            <v>1.825</v>
          </cell>
        </row>
        <row r="151">
          <cell r="C151">
            <v>1.788</v>
          </cell>
        </row>
        <row r="152">
          <cell r="C152">
            <v>1.8280000000000001</v>
          </cell>
        </row>
        <row r="153">
          <cell r="C153">
            <v>1.796</v>
          </cell>
        </row>
        <row r="154">
          <cell r="C154">
            <v>1.8360000000000001</v>
          </cell>
        </row>
        <row r="155">
          <cell r="C155">
            <v>1.8362000000000003</v>
          </cell>
        </row>
        <row r="156">
          <cell r="C156">
            <v>1.8080000000000001</v>
          </cell>
        </row>
        <row r="157">
          <cell r="C157">
            <v>1.8180000000000001</v>
          </cell>
        </row>
        <row r="158">
          <cell r="C158">
            <v>1.8240000000000001</v>
          </cell>
        </row>
        <row r="159">
          <cell r="C159">
            <v>1.8220000000000001</v>
          </cell>
        </row>
        <row r="160">
          <cell r="C160">
            <v>1.8280000000000001</v>
          </cell>
        </row>
        <row r="161">
          <cell r="C161">
            <v>1.8420000000000001</v>
          </cell>
        </row>
        <row r="162">
          <cell r="C162">
            <v>1.835</v>
          </cell>
        </row>
        <row r="163">
          <cell r="C163">
            <v>1.8207100000000001</v>
          </cell>
        </row>
        <row r="164">
          <cell r="C164">
            <v>1.82213</v>
          </cell>
        </row>
        <row r="165">
          <cell r="C165">
            <v>1.81525</v>
          </cell>
        </row>
        <row r="166">
          <cell r="C166">
            <v>1.8089999999999999</v>
          </cell>
        </row>
        <row r="167">
          <cell r="C167">
            <v>1.8146249999999995</v>
          </cell>
        </row>
        <row r="168">
          <cell r="C168">
            <v>1.8214999999999997</v>
          </cell>
        </row>
        <row r="169">
          <cell r="C169">
            <v>1.8358750000000001</v>
          </cell>
        </row>
        <row r="170">
          <cell r="C170">
            <v>1.875</v>
          </cell>
        </row>
        <row r="171">
          <cell r="C171">
            <v>1.8759999999999999</v>
          </cell>
        </row>
        <row r="172">
          <cell r="C172">
            <v>1.8769999999999996</v>
          </cell>
        </row>
        <row r="173">
          <cell r="C173">
            <v>1.8779999999999999</v>
          </cell>
        </row>
        <row r="174">
          <cell r="C174">
            <v>2.0459999999999998</v>
          </cell>
        </row>
        <row r="175">
          <cell r="C175">
            <v>2.052</v>
          </cell>
        </row>
        <row r="176">
          <cell r="C176">
            <v>2.1</v>
          </cell>
        </row>
        <row r="177">
          <cell r="C177">
            <v>2.1030000000000002</v>
          </cell>
        </row>
        <row r="178">
          <cell r="C178">
            <v>2.105</v>
          </cell>
        </row>
        <row r="179">
          <cell r="C179">
            <v>2.1059999999999999</v>
          </cell>
        </row>
        <row r="180">
          <cell r="C180">
            <v>2.1080000000000001</v>
          </cell>
        </row>
        <row r="181">
          <cell r="C181">
            <v>2.1080000000000001</v>
          </cell>
        </row>
        <row r="182">
          <cell r="C182">
            <v>2.1080000000000001</v>
          </cell>
        </row>
        <row r="183">
          <cell r="C183">
            <v>2.1080000000000001</v>
          </cell>
        </row>
        <row r="184">
          <cell r="C184">
            <v>2.1070000000000002</v>
          </cell>
        </row>
        <row r="185">
          <cell r="C185">
            <v>2.1070000000000002</v>
          </cell>
        </row>
        <row r="186">
          <cell r="C186">
            <v>2.1059999999999999</v>
          </cell>
        </row>
        <row r="187">
          <cell r="C187">
            <v>2.0219999999999998</v>
          </cell>
        </row>
        <row r="188">
          <cell r="C188">
            <v>1.9970000000000001</v>
          </cell>
        </row>
        <row r="189">
          <cell r="C189">
            <v>1.9929999999999994</v>
          </cell>
        </row>
        <row r="190">
          <cell r="C190">
            <v>1.9830000000000001</v>
          </cell>
        </row>
        <row r="191">
          <cell r="C191">
            <v>1.974</v>
          </cell>
        </row>
        <row r="192">
          <cell r="C192">
            <v>1.9780000000000006</v>
          </cell>
        </row>
        <row r="193">
          <cell r="C193">
            <v>1.9790000000000001</v>
          </cell>
        </row>
        <row r="194">
          <cell r="C194">
            <v>1.986</v>
          </cell>
        </row>
        <row r="195">
          <cell r="C195">
            <v>1.9910000000000001</v>
          </cell>
        </row>
        <row r="196">
          <cell r="C196">
            <v>1.9890000000000003</v>
          </cell>
        </row>
        <row r="197">
          <cell r="C197">
            <v>1.988</v>
          </cell>
        </row>
        <row r="198">
          <cell r="C198">
            <v>1.9860000000000002</v>
          </cell>
        </row>
        <row r="199">
          <cell r="C199">
            <v>1.9830000000000003</v>
          </cell>
        </row>
        <row r="200">
          <cell r="C200">
            <v>1.9830000000000001</v>
          </cell>
        </row>
        <row r="201">
          <cell r="C201">
            <v>1.982</v>
          </cell>
        </row>
        <row r="202">
          <cell r="C202">
            <v>1.9810000000000001</v>
          </cell>
        </row>
        <row r="203">
          <cell r="C203">
            <v>1.982</v>
          </cell>
        </row>
        <row r="204">
          <cell r="C204">
            <v>1.982</v>
          </cell>
        </row>
        <row r="205">
          <cell r="C205">
            <v>1.9830000000000001</v>
          </cell>
        </row>
        <row r="206">
          <cell r="C206">
            <v>1.9950000000000001</v>
          </cell>
        </row>
        <row r="207">
          <cell r="C207">
            <v>2</v>
          </cell>
        </row>
        <row r="208">
          <cell r="C208">
            <v>2.008</v>
          </cell>
        </row>
        <row r="209">
          <cell r="C209">
            <v>2.012</v>
          </cell>
        </row>
        <row r="210">
          <cell r="C210">
            <v>2.0099999999999998</v>
          </cell>
        </row>
        <row r="211">
          <cell r="C211">
            <v>2.008</v>
          </cell>
        </row>
        <row r="212">
          <cell r="C212">
            <v>2.0089999999999999</v>
          </cell>
        </row>
        <row r="213">
          <cell r="C213">
            <v>2.0089999999999999</v>
          </cell>
        </row>
        <row r="214">
          <cell r="C214">
            <v>2.0259999999999998</v>
          </cell>
        </row>
        <row r="215">
          <cell r="C215">
            <v>2.0299999999999998</v>
          </cell>
        </row>
        <row r="216">
          <cell r="C216">
            <v>2.0310000000000001</v>
          </cell>
        </row>
        <row r="217">
          <cell r="C217">
            <v>2.0329999999999999</v>
          </cell>
        </row>
        <row r="218">
          <cell r="C218">
            <v>2.04</v>
          </cell>
        </row>
        <row r="219">
          <cell r="C219">
            <v>2.0409999999999999</v>
          </cell>
        </row>
        <row r="220">
          <cell r="C220">
            <v>2.0430000000000001</v>
          </cell>
        </row>
        <row r="221">
          <cell r="C221">
            <v>2.0459999999999998</v>
          </cell>
        </row>
        <row r="222">
          <cell r="C222">
            <v>2.0470000000000002</v>
          </cell>
        </row>
        <row r="223">
          <cell r="C223">
            <v>2.0430000000000001</v>
          </cell>
        </row>
        <row r="224">
          <cell r="C224">
            <v>2.1039999999999996</v>
          </cell>
        </row>
        <row r="225">
          <cell r="C225">
            <v>2.1320000000000001</v>
          </cell>
        </row>
        <row r="226">
          <cell r="C226">
            <v>2.1379999999999999</v>
          </cell>
        </row>
        <row r="227">
          <cell r="C227">
            <v>2.1460000000000004</v>
          </cell>
        </row>
        <row r="228">
          <cell r="C228">
            <v>2.15</v>
          </cell>
        </row>
        <row r="229">
          <cell r="C229">
            <v>2.1520000000000006</v>
          </cell>
        </row>
        <row r="230">
          <cell r="C230">
            <v>2.1640000000000001</v>
          </cell>
        </row>
        <row r="231">
          <cell r="C231">
            <v>2.2549999999999994</v>
          </cell>
        </row>
        <row r="232">
          <cell r="C232">
            <v>2.3210000000000002</v>
          </cell>
        </row>
        <row r="233">
          <cell r="C233">
            <v>2.3340000000000001</v>
          </cell>
        </row>
        <row r="234">
          <cell r="C234">
            <v>2.3340000000000001</v>
          </cell>
        </row>
        <row r="235">
          <cell r="C235">
            <v>2.3340000000000001</v>
          </cell>
        </row>
        <row r="236">
          <cell r="C236">
            <v>2.3330000000000006</v>
          </cell>
        </row>
        <row r="237">
          <cell r="C237">
            <v>2.331</v>
          </cell>
        </row>
        <row r="238">
          <cell r="C238">
            <v>2.3300000000000005</v>
          </cell>
        </row>
        <row r="239">
          <cell r="C239">
            <v>2.3330000000000006</v>
          </cell>
        </row>
        <row r="240">
          <cell r="C240">
            <v>2.3320000000000003</v>
          </cell>
        </row>
        <row r="241">
          <cell r="C241">
            <v>2.4750000000000001</v>
          </cell>
        </row>
        <row r="242">
          <cell r="C242">
            <v>2.4869999999999997</v>
          </cell>
        </row>
        <row r="243">
          <cell r="C243">
            <v>2.4929999999999999</v>
          </cell>
        </row>
        <row r="244">
          <cell r="C244">
            <v>2.4990000000000001</v>
          </cell>
        </row>
        <row r="245">
          <cell r="C245">
            <v>2.5009999999999999</v>
          </cell>
        </row>
        <row r="246">
          <cell r="C246">
            <v>2.5</v>
          </cell>
        </row>
        <row r="247">
          <cell r="C247">
            <v>2.5</v>
          </cell>
        </row>
        <row r="248">
          <cell r="C248">
            <v>2.4990000000000001</v>
          </cell>
        </row>
        <row r="249">
          <cell r="C249">
            <v>2.4990000000000001</v>
          </cell>
        </row>
        <row r="250">
          <cell r="C250">
            <v>2.5009999999999999</v>
          </cell>
        </row>
        <row r="251">
          <cell r="C251">
            <v>2.5</v>
          </cell>
        </row>
        <row r="252">
          <cell r="C252">
            <v>2.6</v>
          </cell>
        </row>
        <row r="253">
          <cell r="C253">
            <v>2.6069999999999998</v>
          </cell>
        </row>
        <row r="254">
          <cell r="C254">
            <v>2.613</v>
          </cell>
        </row>
        <row r="255">
          <cell r="C255">
            <v>2.8079999999999998</v>
          </cell>
        </row>
        <row r="256">
          <cell r="C256">
            <v>2.8099999999999996</v>
          </cell>
        </row>
        <row r="257">
          <cell r="C257">
            <v>2.8090000000000006</v>
          </cell>
        </row>
        <row r="258">
          <cell r="C258">
            <v>2.8069999999999995</v>
          </cell>
        </row>
        <row r="259">
          <cell r="C259">
            <v>2.8069999999999995</v>
          </cell>
        </row>
        <row r="260">
          <cell r="C260">
            <v>2.8050000000000002</v>
          </cell>
        </row>
        <row r="261">
          <cell r="C261">
            <v>2.7989999999999999</v>
          </cell>
        </row>
        <row r="262">
          <cell r="C262">
            <v>2.8129999999999997</v>
          </cell>
        </row>
        <row r="263">
          <cell r="C263">
            <v>2.93</v>
          </cell>
        </row>
        <row r="264">
          <cell r="C264">
            <v>2.9769999999999999</v>
          </cell>
        </row>
        <row r="265">
          <cell r="C265">
            <v>2.9860000000000002</v>
          </cell>
        </row>
        <row r="266">
          <cell r="C266">
            <v>3.0100000000000002</v>
          </cell>
        </row>
        <row r="267">
          <cell r="C267">
            <v>3.02</v>
          </cell>
        </row>
        <row r="268">
          <cell r="C268">
            <v>3.0210000000000004</v>
          </cell>
        </row>
        <row r="269">
          <cell r="C269">
            <v>3.0210000000000004</v>
          </cell>
        </row>
        <row r="270">
          <cell r="C270">
            <v>3.0150000000000001</v>
          </cell>
        </row>
        <row r="271">
          <cell r="C271">
            <v>3.0130000000000003</v>
          </cell>
        </row>
        <row r="272">
          <cell r="C272">
            <v>3.0100000000000002</v>
          </cell>
        </row>
        <row r="273">
          <cell r="C273">
            <v>3.0070000000000006</v>
          </cell>
        </row>
        <row r="274">
          <cell r="C274">
            <v>3.0059999999999998</v>
          </cell>
        </row>
        <row r="275">
          <cell r="C275">
            <v>3.0079999999999996</v>
          </cell>
        </row>
        <row r="276">
          <cell r="C276">
            <v>2.9839999999999995</v>
          </cell>
        </row>
        <row r="277">
          <cell r="C277">
            <v>3.0509999999999997</v>
          </cell>
        </row>
        <row r="278">
          <cell r="C278">
            <v>3.1209999999999996</v>
          </cell>
        </row>
        <row r="279">
          <cell r="C279">
            <v>3.0970000000000004</v>
          </cell>
        </row>
        <row r="280">
          <cell r="C280">
            <v>3.0419999999999994</v>
          </cell>
        </row>
        <row r="281">
          <cell r="C281">
            <v>3.012</v>
          </cell>
        </row>
        <row r="282">
          <cell r="C282">
            <v>3.0190000000000006</v>
          </cell>
        </row>
        <row r="283">
          <cell r="C283">
            <v>2.9580000000000006</v>
          </cell>
        </row>
        <row r="284">
          <cell r="C284">
            <v>3.0560000000000005</v>
          </cell>
        </row>
        <row r="285">
          <cell r="C285">
            <v>3.1030000000000006</v>
          </cell>
        </row>
        <row r="286">
          <cell r="C286">
            <v>3.2010000000000001</v>
          </cell>
        </row>
        <row r="287">
          <cell r="C287">
            <v>3.2139999999999995</v>
          </cell>
        </row>
        <row r="288">
          <cell r="C288">
            <v>3.3030000000000004</v>
          </cell>
        </row>
        <row r="289">
          <cell r="C289">
            <v>3.3260000000000001</v>
          </cell>
        </row>
        <row r="290">
          <cell r="C290">
            <v>3.3809999999999998</v>
          </cell>
        </row>
        <row r="291">
          <cell r="C291">
            <v>3.3829999999999996</v>
          </cell>
        </row>
        <row r="292">
          <cell r="C292">
            <v>3.3909999999999991</v>
          </cell>
        </row>
        <row r="293">
          <cell r="C293">
            <v>3.4710000000000001</v>
          </cell>
        </row>
        <row r="294">
          <cell r="C294">
            <v>3.7879999999999998</v>
          </cell>
        </row>
        <row r="295">
          <cell r="C295">
            <v>3.3889999999999998</v>
          </cell>
        </row>
        <row r="296">
          <cell r="C296">
            <v>3.3780000000000001</v>
          </cell>
        </row>
        <row r="297">
          <cell r="C297">
            <v>3.3709999999999996</v>
          </cell>
        </row>
        <row r="298">
          <cell r="C298">
            <v>3.6550000000000002</v>
          </cell>
        </row>
        <row r="299">
          <cell r="C299">
            <v>3.7210000000000001</v>
          </cell>
        </row>
        <row r="300">
          <cell r="C300">
            <v>3.6499999999999995</v>
          </cell>
        </row>
        <row r="301">
          <cell r="C301">
            <v>3.4510000000000001</v>
          </cell>
        </row>
        <row r="302">
          <cell r="C302">
            <v>3.4329999999999998</v>
          </cell>
        </row>
        <row r="303">
          <cell r="C303">
            <v>3.4439999999999995</v>
          </cell>
        </row>
        <row r="304">
          <cell r="C304">
            <v>3.5539999999999994</v>
          </cell>
        </row>
        <row r="305">
          <cell r="C305">
            <v>3.6140000000000003</v>
          </cell>
        </row>
        <row r="306">
          <cell r="C306">
            <v>3.6539999999999999</v>
          </cell>
        </row>
        <row r="307">
          <cell r="C307">
            <v>3.57</v>
          </cell>
        </row>
        <row r="308">
          <cell r="C308">
            <v>3.5369999999999995</v>
          </cell>
        </row>
        <row r="309">
          <cell r="C309">
            <v>3.5159999999999991</v>
          </cell>
        </row>
        <row r="310">
          <cell r="C310">
            <v>3.6700000000000008</v>
          </cell>
        </row>
        <row r="311">
          <cell r="C311">
            <v>3.7120000000000002</v>
          </cell>
        </row>
        <row r="312">
          <cell r="C312">
            <v>3.7079999999999993</v>
          </cell>
        </row>
        <row r="313">
          <cell r="C313">
            <v>3.7510000000000003</v>
          </cell>
        </row>
        <row r="314">
          <cell r="C314">
            <v>3.8000000000000003</v>
          </cell>
        </row>
        <row r="315">
          <cell r="C315">
            <v>3.677</v>
          </cell>
        </row>
        <row r="316">
          <cell r="C316">
            <v>3.4920000000000004</v>
          </cell>
        </row>
        <row r="317">
          <cell r="C317">
            <v>3.2029999999999998</v>
          </cell>
        </row>
        <row r="318">
          <cell r="C318">
            <v>3.0089999999999999</v>
          </cell>
        </row>
        <row r="319">
          <cell r="C319">
            <v>3.1469999999999994</v>
          </cell>
        </row>
        <row r="320">
          <cell r="C320">
            <v>3.3219999999999996</v>
          </cell>
        </row>
        <row r="321">
          <cell r="C321">
            <v>3.3739999999999997</v>
          </cell>
        </row>
        <row r="322">
          <cell r="C322">
            <v>3.3739999999999997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119">
          <cell r="B119">
            <v>4.74</v>
          </cell>
        </row>
        <row r="120">
          <cell r="B120">
            <v>4.72</v>
          </cell>
        </row>
        <row r="121">
          <cell r="B121">
            <v>4.62</v>
          </cell>
        </row>
        <row r="122">
          <cell r="B122">
            <v>4.5599999999999996</v>
          </cell>
        </row>
        <row r="123">
          <cell r="B123">
            <v>4.7300000000000004</v>
          </cell>
        </row>
        <row r="124">
          <cell r="B124">
            <v>4.7699999999999996</v>
          </cell>
        </row>
        <row r="125">
          <cell r="B125">
            <v>4.67</v>
          </cell>
        </row>
        <row r="126">
          <cell r="B126">
            <v>4.79</v>
          </cell>
        </row>
        <row r="127">
          <cell r="B127">
            <v>4.8600000000000003</v>
          </cell>
        </row>
        <row r="128">
          <cell r="B128">
            <v>4.92</v>
          </cell>
        </row>
        <row r="129">
          <cell r="B129">
            <v>4.95</v>
          </cell>
        </row>
        <row r="130">
          <cell r="B130">
            <v>4.95</v>
          </cell>
        </row>
        <row r="131">
          <cell r="B131">
            <v>5.0599999999999996</v>
          </cell>
        </row>
        <row r="132">
          <cell r="B132">
            <v>5.3</v>
          </cell>
        </row>
        <row r="133">
          <cell r="B133">
            <v>5.21</v>
          </cell>
        </row>
        <row r="134">
          <cell r="B134">
            <v>5.21</v>
          </cell>
        </row>
        <row r="135">
          <cell r="B135">
            <v>5.2</v>
          </cell>
        </row>
        <row r="136">
          <cell r="B136">
            <v>5.24</v>
          </cell>
        </row>
        <row r="137">
          <cell r="B137">
            <v>5.29</v>
          </cell>
        </row>
        <row r="138">
          <cell r="B138">
            <v>5.56</v>
          </cell>
        </row>
        <row r="139">
          <cell r="B139">
            <v>5.55</v>
          </cell>
        </row>
        <row r="140">
          <cell r="B140">
            <v>5.5</v>
          </cell>
        </row>
        <row r="141">
          <cell r="B141">
            <v>5.43</v>
          </cell>
        </row>
        <row r="142">
          <cell r="B142">
            <v>5.58</v>
          </cell>
        </row>
        <row r="143">
          <cell r="B143">
            <v>5.47</v>
          </cell>
        </row>
        <row r="144">
          <cell r="B144">
            <v>5.48</v>
          </cell>
        </row>
        <row r="145">
          <cell r="B145">
            <v>5.5571000000000002</v>
          </cell>
        </row>
        <row r="146">
          <cell r="B146">
            <v>5.42</v>
          </cell>
        </row>
        <row r="147">
          <cell r="B147">
            <v>5.65</v>
          </cell>
        </row>
        <row r="148">
          <cell r="B148">
            <v>5.99</v>
          </cell>
        </row>
        <row r="149">
          <cell r="B149">
            <v>6.04</v>
          </cell>
        </row>
        <row r="150">
          <cell r="B150">
            <v>6</v>
          </cell>
        </row>
        <row r="151">
          <cell r="B151">
            <v>5.97</v>
          </cell>
        </row>
        <row r="152">
          <cell r="B152">
            <v>6.06</v>
          </cell>
        </row>
        <row r="153">
          <cell r="B153">
            <v>5.96</v>
          </cell>
        </row>
        <row r="154">
          <cell r="B154">
            <v>5.96</v>
          </cell>
        </row>
        <row r="155">
          <cell r="B155">
            <v>6.08</v>
          </cell>
        </row>
        <row r="156">
          <cell r="B156">
            <v>6.09</v>
          </cell>
        </row>
        <row r="157">
          <cell r="B157">
            <v>6.06</v>
          </cell>
        </row>
        <row r="158">
          <cell r="B158">
            <v>6.07</v>
          </cell>
        </row>
        <row r="159">
          <cell r="B159">
            <v>6.1</v>
          </cell>
        </row>
        <row r="160">
          <cell r="B160">
            <v>6.15</v>
          </cell>
        </row>
        <row r="161">
          <cell r="B161">
            <v>6.13</v>
          </cell>
        </row>
        <row r="162">
          <cell r="B162">
            <v>6.19</v>
          </cell>
        </row>
        <row r="163">
          <cell r="B163">
            <v>6.1905999999999999</v>
          </cell>
        </row>
        <row r="164">
          <cell r="B164">
            <v>6.5968999999999998</v>
          </cell>
        </row>
        <row r="165">
          <cell r="B165">
            <v>6.55</v>
          </cell>
        </row>
        <row r="166">
          <cell r="B166">
            <v>6.5093750000000004</v>
          </cell>
        </row>
        <row r="167">
          <cell r="B167">
            <v>6.5</v>
          </cell>
        </row>
        <row r="168">
          <cell r="B168">
            <v>6.6031250000000004</v>
          </cell>
        </row>
        <row r="169">
          <cell r="B169">
            <v>6.55</v>
          </cell>
        </row>
        <row r="170">
          <cell r="B170">
            <v>6.4718749999999998</v>
          </cell>
        </row>
        <row r="171">
          <cell r="B171">
            <v>6.45</v>
          </cell>
        </row>
        <row r="172">
          <cell r="B172">
            <v>6.6031250000000004</v>
          </cell>
        </row>
        <row r="173">
          <cell r="B173">
            <v>6.7125000000000004</v>
          </cell>
        </row>
        <row r="174">
          <cell r="B174">
            <v>6.9968750000000002</v>
          </cell>
        </row>
        <row r="175">
          <cell r="B175">
            <v>7.3</v>
          </cell>
        </row>
        <row r="176">
          <cell r="B176">
            <v>7.4</v>
          </cell>
        </row>
        <row r="177">
          <cell r="B177">
            <v>7.45</v>
          </cell>
        </row>
        <row r="178">
          <cell r="B178">
            <v>7.5</v>
          </cell>
        </row>
        <row r="179">
          <cell r="B179">
            <v>7.55</v>
          </cell>
        </row>
        <row r="180">
          <cell r="B180">
            <v>7.6</v>
          </cell>
        </row>
        <row r="181">
          <cell r="B181">
            <v>7.55</v>
          </cell>
        </row>
        <row r="182">
          <cell r="B182">
            <v>7.5</v>
          </cell>
        </row>
        <row r="183">
          <cell r="B183">
            <v>7.45</v>
          </cell>
        </row>
        <row r="184">
          <cell r="B184">
            <v>7.5</v>
          </cell>
        </row>
        <row r="185">
          <cell r="B185">
            <v>7.55</v>
          </cell>
        </row>
        <row r="186">
          <cell r="B186">
            <v>7.6</v>
          </cell>
        </row>
        <row r="187">
          <cell r="B187">
            <v>7.5</v>
          </cell>
        </row>
        <row r="188">
          <cell r="B188">
            <v>7.58</v>
          </cell>
        </row>
        <row r="189">
          <cell r="B189">
            <v>7.65</v>
          </cell>
        </row>
        <row r="190">
          <cell r="B190">
            <v>7.7</v>
          </cell>
        </row>
        <row r="191">
          <cell r="B191">
            <v>7.8</v>
          </cell>
        </row>
        <row r="192">
          <cell r="B192">
            <v>7.8687500000000004</v>
          </cell>
        </row>
        <row r="193">
          <cell r="B193">
            <v>7.9718749999999998</v>
          </cell>
        </row>
        <row r="194">
          <cell r="B194">
            <v>8.1286000000000005</v>
          </cell>
        </row>
        <row r="195">
          <cell r="B195">
            <v>16</v>
          </cell>
        </row>
        <row r="196">
          <cell r="B196">
            <v>13.5</v>
          </cell>
        </row>
        <row r="197">
          <cell r="B197">
            <v>13.5</v>
          </cell>
        </row>
        <row r="198">
          <cell r="B198">
            <v>13.5</v>
          </cell>
        </row>
        <row r="199">
          <cell r="B199">
            <v>13.5</v>
          </cell>
        </row>
        <row r="200">
          <cell r="B200">
            <v>14.83</v>
          </cell>
        </row>
        <row r="201">
          <cell r="B201">
            <v>14.83</v>
          </cell>
        </row>
        <row r="202">
          <cell r="B202">
            <v>14.83</v>
          </cell>
        </row>
        <row r="203">
          <cell r="B203">
            <v>14.77</v>
          </cell>
        </row>
        <row r="204">
          <cell r="B204">
            <v>14.77</v>
          </cell>
        </row>
        <row r="205">
          <cell r="B205">
            <v>15.042857142857144</v>
          </cell>
        </row>
        <row r="206">
          <cell r="B206">
            <v>15.042857142857144</v>
          </cell>
        </row>
        <row r="207">
          <cell r="B207">
            <v>15.042857142857144</v>
          </cell>
        </row>
        <row r="208">
          <cell r="B208">
            <v>15.042857142857144</v>
          </cell>
        </row>
        <row r="209">
          <cell r="B209">
            <v>15.13</v>
          </cell>
        </row>
        <row r="210">
          <cell r="B210">
            <v>15.13</v>
          </cell>
        </row>
        <row r="211">
          <cell r="B211">
            <v>15.13</v>
          </cell>
        </row>
        <row r="212">
          <cell r="B212">
            <v>15.93</v>
          </cell>
        </row>
        <row r="213">
          <cell r="B213">
            <v>15.49</v>
          </cell>
        </row>
        <row r="214">
          <cell r="B214">
            <v>15.49</v>
          </cell>
        </row>
        <row r="215">
          <cell r="B215">
            <v>15.49</v>
          </cell>
        </row>
        <row r="216">
          <cell r="B216">
            <v>15.49</v>
          </cell>
        </row>
        <row r="217">
          <cell r="B217">
            <v>15.49</v>
          </cell>
        </row>
        <row r="218">
          <cell r="B218">
            <v>15.7</v>
          </cell>
        </row>
        <row r="219">
          <cell r="B219">
            <v>15.7</v>
          </cell>
        </row>
        <row r="220">
          <cell r="B220">
            <v>15.77</v>
          </cell>
        </row>
        <row r="221">
          <cell r="B221">
            <v>15.77</v>
          </cell>
        </row>
        <row r="222">
          <cell r="B222">
            <v>15.957142857142859</v>
          </cell>
        </row>
        <row r="223">
          <cell r="B223">
            <v>15.957142857142859</v>
          </cell>
        </row>
        <row r="224">
          <cell r="B224">
            <v>15.957142857142859</v>
          </cell>
        </row>
        <row r="225">
          <cell r="B225">
            <v>15.957142857142859</v>
          </cell>
        </row>
        <row r="226">
          <cell r="B226">
            <v>15.957142857142859</v>
          </cell>
        </row>
        <row r="227">
          <cell r="B227">
            <v>16.3</v>
          </cell>
        </row>
        <row r="228">
          <cell r="B228">
            <v>16.3</v>
          </cell>
        </row>
        <row r="229">
          <cell r="B229">
            <v>16.3</v>
          </cell>
        </row>
        <row r="230">
          <cell r="B230">
            <v>16.3</v>
          </cell>
        </row>
        <row r="231">
          <cell r="B231">
            <v>16.3</v>
          </cell>
        </row>
        <row r="232">
          <cell r="B232">
            <v>16.3</v>
          </cell>
        </row>
        <row r="233">
          <cell r="B233">
            <v>16.3</v>
          </cell>
        </row>
        <row r="234">
          <cell r="B234">
            <v>16.328571428571429</v>
          </cell>
        </row>
        <row r="235">
          <cell r="B235">
            <v>16.328571428571429</v>
          </cell>
        </row>
        <row r="236">
          <cell r="B236">
            <v>16.442857142857143</v>
          </cell>
        </row>
        <row r="237">
          <cell r="B237">
            <v>16.442857142857143</v>
          </cell>
        </row>
        <row r="238">
          <cell r="B238">
            <v>16.442857142857143</v>
          </cell>
        </row>
        <row r="239">
          <cell r="B239">
            <v>16.442857142857143</v>
          </cell>
        </row>
        <row r="240">
          <cell r="B240">
            <v>16.442857142857143</v>
          </cell>
        </row>
        <row r="241">
          <cell r="B241">
            <v>16.585714285714285</v>
          </cell>
        </row>
        <row r="242">
          <cell r="B242">
            <v>16.585714285714285</v>
          </cell>
        </row>
        <row r="243">
          <cell r="B243">
            <v>16.585714285714285</v>
          </cell>
        </row>
        <row r="244">
          <cell r="B244">
            <v>16.585714285714285</v>
          </cell>
        </row>
        <row r="245">
          <cell r="B245">
            <v>16.585714285714285</v>
          </cell>
        </row>
        <row r="246">
          <cell r="B246">
            <v>16.585714285714285</v>
          </cell>
        </row>
        <row r="247">
          <cell r="B247">
            <v>16.585714285714285</v>
          </cell>
        </row>
        <row r="248">
          <cell r="B248">
            <v>16.585714285714285</v>
          </cell>
        </row>
        <row r="249">
          <cell r="B249">
            <v>16.585714285714285</v>
          </cell>
        </row>
        <row r="250">
          <cell r="B250">
            <v>16.585714285714285</v>
          </cell>
        </row>
        <row r="251">
          <cell r="B251">
            <v>16.585714285714285</v>
          </cell>
        </row>
        <row r="252">
          <cell r="B252">
            <v>16.585714285714285</v>
          </cell>
        </row>
        <row r="253">
          <cell r="B253">
            <v>16.585714285714285</v>
          </cell>
        </row>
        <row r="254">
          <cell r="B254">
            <v>16.942857142857143</v>
          </cell>
        </row>
        <row r="255">
          <cell r="B255">
            <v>17.057142857142857</v>
          </cell>
        </row>
        <row r="256">
          <cell r="B256">
            <v>17.057142857142857</v>
          </cell>
        </row>
        <row r="257">
          <cell r="B257">
            <v>17.057142857142857</v>
          </cell>
        </row>
        <row r="258">
          <cell r="B258">
            <v>17.057142857142857</v>
          </cell>
        </row>
        <row r="259">
          <cell r="B259">
            <v>17.057142857142857</v>
          </cell>
        </row>
        <row r="260">
          <cell r="B260">
            <v>17.057142857142857</v>
          </cell>
        </row>
        <row r="261">
          <cell r="B261">
            <v>17.185714285714283</v>
          </cell>
        </row>
        <row r="262">
          <cell r="B262">
            <v>17.185714285714283</v>
          </cell>
        </row>
        <row r="263">
          <cell r="B263">
            <v>17.185714285714283</v>
          </cell>
        </row>
        <row r="264">
          <cell r="B264">
            <v>17.185714285714283</v>
          </cell>
        </row>
        <row r="265">
          <cell r="B265">
            <v>17.185714285714283</v>
          </cell>
        </row>
        <row r="266">
          <cell r="B266">
            <v>17.185714285714283</v>
          </cell>
        </row>
        <row r="267">
          <cell r="B267">
            <v>17.185714285714283</v>
          </cell>
        </row>
        <row r="268">
          <cell r="B268">
            <v>17.185714285714283</v>
          </cell>
        </row>
        <row r="269">
          <cell r="B269">
            <v>17.442857142857143</v>
          </cell>
        </row>
        <row r="270">
          <cell r="B270">
            <v>17.442857142857143</v>
          </cell>
        </row>
        <row r="271">
          <cell r="B271">
            <v>17.442857142857143</v>
          </cell>
        </row>
        <row r="272">
          <cell r="B272">
            <v>17.442857142857143</v>
          </cell>
        </row>
        <row r="273">
          <cell r="B273">
            <v>17.442857142857143</v>
          </cell>
        </row>
        <row r="274">
          <cell r="B274">
            <v>17.442857142857143</v>
          </cell>
        </row>
        <row r="275">
          <cell r="B275">
            <v>17.442857142857143</v>
          </cell>
        </row>
        <row r="276">
          <cell r="B276">
            <v>17.442857142857143</v>
          </cell>
        </row>
        <row r="277">
          <cell r="B277">
            <v>17.442857142857143</v>
          </cell>
        </row>
        <row r="278">
          <cell r="B278">
            <v>17.442857142857143</v>
          </cell>
        </row>
        <row r="279">
          <cell r="B279">
            <v>17.442857142857143</v>
          </cell>
        </row>
        <row r="280">
          <cell r="B280">
            <v>17.642857142857142</v>
          </cell>
        </row>
        <row r="281">
          <cell r="B281">
            <v>17.642857142857142</v>
          </cell>
        </row>
        <row r="282">
          <cell r="B282">
            <v>17.642857142857142</v>
          </cell>
        </row>
        <row r="283">
          <cell r="B283">
            <v>17.642857142857142</v>
          </cell>
        </row>
        <row r="284">
          <cell r="B284">
            <v>17.642857142857142</v>
          </cell>
        </row>
        <row r="285">
          <cell r="B285">
            <v>17.642857142857142</v>
          </cell>
        </row>
        <row r="286">
          <cell r="B286">
            <v>17.642857142857142</v>
          </cell>
        </row>
        <row r="287">
          <cell r="B287">
            <v>17.642857142857142</v>
          </cell>
        </row>
        <row r="288">
          <cell r="B288">
            <v>18.271428571428572</v>
          </cell>
        </row>
        <row r="289">
          <cell r="B289">
            <v>18.271428571428572</v>
          </cell>
        </row>
        <row r="290">
          <cell r="B290">
            <v>18.271428571428572</v>
          </cell>
        </row>
        <row r="291">
          <cell r="B291">
            <v>18.271428571428572</v>
          </cell>
        </row>
        <row r="292">
          <cell r="B292">
            <v>18.271428571428572</v>
          </cell>
        </row>
        <row r="293">
          <cell r="B293">
            <v>18.271428571428572</v>
          </cell>
        </row>
        <row r="294">
          <cell r="B294">
            <v>18.271428571428572</v>
          </cell>
        </row>
        <row r="295">
          <cell r="B295">
            <v>18.642857142857142</v>
          </cell>
        </row>
        <row r="296">
          <cell r="B296">
            <v>18.642857142857142</v>
          </cell>
        </row>
        <row r="297">
          <cell r="B297">
            <v>18.642857142857142</v>
          </cell>
        </row>
        <row r="298">
          <cell r="B298">
            <v>18.642857142857142</v>
          </cell>
        </row>
        <row r="299">
          <cell r="B299">
            <v>18.642857142857142</v>
          </cell>
        </row>
        <row r="300">
          <cell r="B300">
            <v>18.642857142857142</v>
          </cell>
        </row>
        <row r="301">
          <cell r="B301">
            <v>18.642857142857142</v>
          </cell>
        </row>
        <row r="302">
          <cell r="B302">
            <v>18.642857142857142</v>
          </cell>
        </row>
        <row r="303">
          <cell r="B303">
            <v>19.071428571428573</v>
          </cell>
        </row>
        <row r="304">
          <cell r="B304">
            <v>19.071428571428573</v>
          </cell>
        </row>
        <row r="305">
          <cell r="B305">
            <v>19.071428571428573</v>
          </cell>
        </row>
        <row r="306">
          <cell r="B306">
            <v>19.071428571428573</v>
          </cell>
        </row>
        <row r="307">
          <cell r="B307">
            <v>19.071428571428573</v>
          </cell>
        </row>
        <row r="308">
          <cell r="B308">
            <v>19.071428571428573</v>
          </cell>
        </row>
        <row r="309">
          <cell r="B309">
            <v>19.071428571428573</v>
          </cell>
        </row>
        <row r="310">
          <cell r="B310">
            <v>19.071428571428573</v>
          </cell>
        </row>
        <row r="311">
          <cell r="B311">
            <v>19.071428571428573</v>
          </cell>
        </row>
        <row r="312">
          <cell r="B312">
            <v>19.071428571428573</v>
          </cell>
        </row>
        <row r="313">
          <cell r="B313">
            <v>19.071428571428573</v>
          </cell>
        </row>
        <row r="314">
          <cell r="B314">
            <v>19.071428571428573</v>
          </cell>
        </row>
        <row r="315">
          <cell r="B315">
            <v>19.38571428571429</v>
          </cell>
        </row>
        <row r="316">
          <cell r="B316">
            <v>19.38571428571429</v>
          </cell>
        </row>
        <row r="317">
          <cell r="B317">
            <v>19.38571428571429</v>
          </cell>
        </row>
        <row r="318">
          <cell r="B318">
            <v>19.38571428571429</v>
          </cell>
        </row>
        <row r="319">
          <cell r="B319">
            <v>19.38571428571429</v>
          </cell>
        </row>
        <row r="320">
          <cell r="B320">
            <v>19.38571428571429</v>
          </cell>
        </row>
        <row r="321">
          <cell r="B321">
            <v>19.38571428571429</v>
          </cell>
        </row>
        <row r="322">
          <cell r="B322">
            <v>19.38571428571429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731.27301071841316</v>
          </cell>
        </row>
      </sheetData>
      <sheetData sheetId="3">
        <row r="8">
          <cell r="E8">
            <v>580.94214176501112</v>
          </cell>
        </row>
      </sheetData>
      <sheetData sheetId="4"/>
      <sheetData sheetId="5">
        <row r="8">
          <cell r="E8">
            <v>150.3308689534021</v>
          </cell>
        </row>
      </sheetData>
      <sheetData sheetId="6"/>
      <sheetData sheetId="7">
        <row r="27">
          <cell r="H27">
            <v>211125</v>
          </cell>
        </row>
      </sheetData>
      <sheetData sheetId="8">
        <row r="28">
          <cell r="H28">
            <v>117500</v>
          </cell>
        </row>
      </sheetData>
      <sheetData sheetId="9">
        <row r="5">
          <cell r="I5">
            <v>435.83762819772915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2.4329999999999998</v>
          </cell>
        </row>
      </sheetData>
      <sheetData sheetId="21"/>
      <sheetData sheetId="22"/>
      <sheetData sheetId="23">
        <row r="9">
          <cell r="D9">
            <v>3.8880000000000003</v>
          </cell>
        </row>
      </sheetData>
      <sheetData sheetId="24"/>
      <sheetData sheetId="25"/>
      <sheetData sheetId="26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 por Distância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14.83208207582514</v>
          </cell>
        </row>
      </sheetData>
      <sheetData sheetId="1"/>
      <sheetData sheetId="2"/>
      <sheetData sheetId="3"/>
      <sheetData sheetId="4">
        <row r="157">
          <cell r="H157">
            <v>3337.8343994989445</v>
          </cell>
        </row>
        <row r="173">
          <cell r="H173">
            <v>0.27262583442143073</v>
          </cell>
        </row>
      </sheetData>
      <sheetData sheetId="5"/>
      <sheetData sheetId="6"/>
      <sheetData sheetId="7">
        <row r="21">
          <cell r="D21">
            <v>355301</v>
          </cell>
        </row>
      </sheetData>
      <sheetData sheetId="8">
        <row r="21">
          <cell r="D21">
            <v>84808.333333333328</v>
          </cell>
        </row>
      </sheetData>
      <sheetData sheetId="9">
        <row r="16">
          <cell r="D16">
            <v>364.93799999999999</v>
          </cell>
        </row>
      </sheetData>
      <sheetData sheetId="10">
        <row r="26">
          <cell r="C26">
            <v>1722.5059999999999</v>
          </cell>
        </row>
      </sheetData>
      <sheetData sheetId="11">
        <row r="29">
          <cell r="D29">
            <v>475.98333333333335</v>
          </cell>
        </row>
      </sheetData>
      <sheetData sheetId="12">
        <row r="26">
          <cell r="D26">
            <v>1240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 por Distância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14.841753165101954</v>
          </cell>
        </row>
      </sheetData>
      <sheetData sheetId="1"/>
      <sheetData sheetId="2"/>
      <sheetData sheetId="3"/>
      <sheetData sheetId="4">
        <row r="158">
          <cell r="H158">
            <v>3308.0608487576592</v>
          </cell>
        </row>
        <row r="174">
          <cell r="H174">
            <v>0.27507946693122359</v>
          </cell>
        </row>
      </sheetData>
      <sheetData sheetId="5"/>
      <sheetData sheetId="6"/>
      <sheetData sheetId="7">
        <row r="21">
          <cell r="D21">
            <v>351537</v>
          </cell>
        </row>
      </sheetData>
      <sheetData sheetId="8">
        <row r="21">
          <cell r="D21">
            <v>84808.333333333328</v>
          </cell>
        </row>
      </sheetData>
      <sheetData sheetId="9">
        <row r="16">
          <cell r="D16">
            <v>364.93799999999999</v>
          </cell>
        </row>
      </sheetData>
      <sheetData sheetId="10">
        <row r="26">
          <cell r="C26">
            <v>1743.5739999999998</v>
          </cell>
        </row>
      </sheetData>
      <sheetData sheetId="11">
        <row r="29">
          <cell r="D29">
            <v>475.98333333333335</v>
          </cell>
        </row>
      </sheetData>
      <sheetData sheetId="12">
        <row r="26">
          <cell r="D26">
            <v>1240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 por Distância"/>
      <sheetName val="Variação"/>
      <sheetName val="RESUMOr"/>
      <sheetName val="PLANCUSr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</sheetNames>
    <sheetDataSet>
      <sheetData sheetId="0">
        <row r="13">
          <cell r="C13">
            <v>14.897241014269445</v>
          </cell>
        </row>
      </sheetData>
      <sheetData sheetId="1"/>
      <sheetData sheetId="2"/>
      <sheetData sheetId="3"/>
      <sheetData sheetId="4">
        <row r="158">
          <cell r="H158">
            <v>3311.5650153300262</v>
          </cell>
        </row>
        <row r="174">
          <cell r="H174">
            <v>0.27923316688188504</v>
          </cell>
        </row>
      </sheetData>
      <sheetData sheetId="5"/>
      <sheetData sheetId="6"/>
      <sheetData sheetId="7">
        <row r="21">
          <cell r="D21">
            <v>351980</v>
          </cell>
        </row>
      </sheetData>
      <sheetData sheetId="8">
        <row r="21">
          <cell r="D21">
            <v>84808.333333333328</v>
          </cell>
        </row>
      </sheetData>
      <sheetData sheetId="9">
        <row r="16">
          <cell r="D16">
            <v>364.93799999999999</v>
          </cell>
        </row>
      </sheetData>
      <sheetData sheetId="10">
        <row r="26">
          <cell r="C26">
            <v>1729.6020000000001</v>
          </cell>
        </row>
      </sheetData>
      <sheetData sheetId="11">
        <row r="29">
          <cell r="D29">
            <v>475.98333333333335</v>
          </cell>
        </row>
      </sheetData>
      <sheetData sheetId="12">
        <row r="26">
          <cell r="D26">
            <v>1240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14.934020572554568</v>
          </cell>
        </row>
      </sheetData>
      <sheetData sheetId="1"/>
      <sheetData sheetId="2"/>
      <sheetData sheetId="3"/>
      <sheetData sheetId="4"/>
      <sheetData sheetId="5">
        <row r="158">
          <cell r="H158">
            <v>3311.5650153300262</v>
          </cell>
        </row>
        <row r="174">
          <cell r="H174">
            <v>0.28188588196726294</v>
          </cell>
        </row>
      </sheetData>
      <sheetData sheetId="6"/>
      <sheetData sheetId="7"/>
      <sheetData sheetId="8">
        <row r="21">
          <cell r="D21">
            <v>351980</v>
          </cell>
        </row>
      </sheetData>
      <sheetData sheetId="9">
        <row r="21">
          <cell r="D21">
            <v>84808.333333333328</v>
          </cell>
        </row>
      </sheetData>
      <sheetData sheetId="10">
        <row r="16">
          <cell r="D16">
            <v>364.93799999999999</v>
          </cell>
        </row>
      </sheetData>
      <sheetData sheetId="11">
        <row r="26">
          <cell r="C26">
            <v>1765.6039999999998</v>
          </cell>
        </row>
      </sheetData>
      <sheetData sheetId="12">
        <row r="29">
          <cell r="D29">
            <v>475.98333333333335</v>
          </cell>
        </row>
      </sheetData>
      <sheetData sheetId="13">
        <row r="26">
          <cell r="D26">
            <v>1240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14.951217145395711</v>
          </cell>
        </row>
      </sheetData>
      <sheetData sheetId="1"/>
      <sheetData sheetId="2"/>
      <sheetData sheetId="3"/>
      <sheetData sheetId="4"/>
      <sheetData sheetId="5">
        <row r="158">
          <cell r="H158">
            <v>3275.4792187089461</v>
          </cell>
        </row>
        <row r="174">
          <cell r="H174">
            <v>0.28312617984791888</v>
          </cell>
        </row>
      </sheetData>
      <sheetData sheetId="6"/>
      <sheetData sheetId="7"/>
      <sheetData sheetId="8">
        <row r="21">
          <cell r="D21">
            <v>347413</v>
          </cell>
        </row>
      </sheetData>
      <sheetData sheetId="9">
        <row r="21">
          <cell r="D21">
            <v>84808.333333333328</v>
          </cell>
        </row>
      </sheetData>
      <sheetData sheetId="10">
        <row r="16">
          <cell r="D16">
            <v>364.93799999999999</v>
          </cell>
        </row>
      </sheetData>
      <sheetData sheetId="11">
        <row r="26">
          <cell r="C26">
            <v>1769.2699999999998</v>
          </cell>
        </row>
      </sheetData>
      <sheetData sheetId="12">
        <row r="29">
          <cell r="D29">
            <v>475.98333333333335</v>
          </cell>
        </row>
      </sheetData>
      <sheetData sheetId="13">
        <row r="26">
          <cell r="D26">
            <v>1245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15.395339062322355</v>
          </cell>
        </row>
      </sheetData>
      <sheetData sheetId="1"/>
      <sheetData sheetId="2"/>
      <sheetData sheetId="3"/>
      <sheetData sheetId="4"/>
      <sheetData sheetId="5">
        <row r="158">
          <cell r="H158">
            <v>3277.8759737234541</v>
          </cell>
        </row>
        <row r="174">
          <cell r="H174">
            <v>0.28493818739894555</v>
          </cell>
        </row>
      </sheetData>
      <sheetData sheetId="6"/>
      <sheetData sheetId="7"/>
      <sheetData sheetId="8">
        <row r="21">
          <cell r="D21">
            <v>347716</v>
          </cell>
        </row>
      </sheetData>
      <sheetData sheetId="9">
        <row r="21">
          <cell r="D21">
            <v>84808.333333333328</v>
          </cell>
        </row>
      </sheetData>
      <sheetData sheetId="10">
        <row r="16">
          <cell r="D16">
            <v>395.59279200000003</v>
          </cell>
        </row>
      </sheetData>
      <sheetData sheetId="11">
        <row r="26">
          <cell r="C26">
            <v>1769.2699999999998</v>
          </cell>
        </row>
      </sheetData>
      <sheetData sheetId="12">
        <row r="29">
          <cell r="D29">
            <v>480.98333333333335</v>
          </cell>
        </row>
      </sheetData>
      <sheetData sheetId="13">
        <row r="26">
          <cell r="D26">
            <v>1245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15.545133175376957</v>
          </cell>
        </row>
      </sheetData>
      <sheetData sheetId="1"/>
      <sheetData sheetId="2"/>
      <sheetData sheetId="3"/>
      <sheetData sheetId="4"/>
      <sheetData sheetId="5">
        <row r="158">
          <cell r="H158">
            <v>3301.8751641987624</v>
          </cell>
        </row>
        <row r="174">
          <cell r="H174">
            <v>0.28773058163545523</v>
          </cell>
        </row>
      </sheetData>
      <sheetData sheetId="6"/>
      <sheetData sheetId="7"/>
      <sheetData sheetId="8">
        <row r="21">
          <cell r="D21">
            <v>350750</v>
          </cell>
        </row>
      </sheetData>
      <sheetData sheetId="9">
        <row r="21">
          <cell r="D21">
            <v>84808.333333333328</v>
          </cell>
        </row>
      </sheetData>
      <sheetData sheetId="10">
        <row r="16">
          <cell r="D16">
            <v>395.59279200000003</v>
          </cell>
        </row>
      </sheetData>
      <sheetData sheetId="11">
        <row r="26">
          <cell r="C26">
            <v>1804.7139999999999</v>
          </cell>
        </row>
      </sheetData>
      <sheetData sheetId="12">
        <row r="29">
          <cell r="D29">
            <v>480.98333333333335</v>
          </cell>
        </row>
      </sheetData>
      <sheetData sheetId="13">
        <row r="26">
          <cell r="D26">
            <v>1245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16.07510200085019</v>
          </cell>
        </row>
      </sheetData>
      <sheetData sheetId="1"/>
      <sheetData sheetId="2"/>
      <sheetData sheetId="3"/>
      <sheetData sheetId="4"/>
      <sheetData sheetId="5">
        <row r="158">
          <cell r="H158">
            <v>3323.8916201182456</v>
          </cell>
        </row>
        <row r="174">
          <cell r="H174">
            <v>0.28908291536914182</v>
          </cell>
        </row>
      </sheetData>
      <sheetData sheetId="6"/>
      <sheetData sheetId="7"/>
      <sheetData sheetId="8">
        <row r="21">
          <cell r="D21">
            <v>352822</v>
          </cell>
        </row>
      </sheetData>
      <sheetData sheetId="9">
        <row r="21">
          <cell r="D21">
            <v>85740</v>
          </cell>
        </row>
      </sheetData>
      <sheetData sheetId="10">
        <row r="16">
          <cell r="D16">
            <v>395.59279200000003</v>
          </cell>
        </row>
      </sheetData>
      <sheetData sheetId="11">
        <row r="26">
          <cell r="C26">
            <v>1794.0239999999999</v>
          </cell>
        </row>
      </sheetData>
      <sheetData sheetId="12">
        <row r="29">
          <cell r="D29">
            <v>480.98333333333335</v>
          </cell>
        </row>
      </sheetData>
      <sheetData sheetId="13">
        <row r="26">
          <cell r="D26">
            <v>1245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16.125201607008595</v>
          </cell>
        </row>
      </sheetData>
      <sheetData sheetId="1"/>
      <sheetData sheetId="2"/>
      <sheetData sheetId="3"/>
      <sheetData sheetId="4"/>
      <sheetData sheetId="5">
        <row r="158">
          <cell r="H158">
            <v>3323.8916201182456</v>
          </cell>
        </row>
        <row r="174">
          <cell r="H174">
            <v>0.29093304602750431</v>
          </cell>
        </row>
      </sheetData>
      <sheetData sheetId="6"/>
      <sheetData sheetId="7"/>
      <sheetData sheetId="8">
        <row r="21">
          <cell r="D21">
            <v>352822</v>
          </cell>
        </row>
      </sheetData>
      <sheetData sheetId="9">
        <row r="21">
          <cell r="D21">
            <v>85740</v>
          </cell>
        </row>
      </sheetData>
      <sheetData sheetId="10">
        <row r="16">
          <cell r="D16">
            <v>395.59279200000003</v>
          </cell>
        </row>
      </sheetData>
      <sheetData sheetId="11">
        <row r="26">
          <cell r="C26">
            <v>1801.3700000000001</v>
          </cell>
        </row>
      </sheetData>
      <sheetData sheetId="12">
        <row r="29">
          <cell r="D29">
            <v>480.98333333333335</v>
          </cell>
        </row>
      </sheetData>
      <sheetData sheetId="13">
        <row r="26">
          <cell r="D26">
            <v>1245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16.175158981827654</v>
          </cell>
        </row>
      </sheetData>
      <sheetData sheetId="1"/>
      <sheetData sheetId="2"/>
      <sheetData sheetId="3"/>
      <sheetData sheetId="4"/>
      <sheetData sheetId="5">
        <row r="158">
          <cell r="H158">
            <v>3265.4202898633075</v>
          </cell>
        </row>
        <row r="174">
          <cell r="H174">
            <v>0.2918349384701896</v>
          </cell>
        </row>
      </sheetData>
      <sheetData sheetId="6"/>
      <sheetData sheetId="7"/>
      <sheetData sheetId="8">
        <row r="21">
          <cell r="D21">
            <v>345430</v>
          </cell>
        </row>
      </sheetData>
      <sheetData sheetId="9">
        <row r="21">
          <cell r="D21">
            <v>85740</v>
          </cell>
        </row>
      </sheetData>
      <sheetData sheetId="10">
        <row r="16">
          <cell r="D16">
            <v>395.59279200000003</v>
          </cell>
        </row>
      </sheetData>
      <sheetData sheetId="11">
        <row r="26">
          <cell r="C26">
            <v>1832.17</v>
          </cell>
        </row>
      </sheetData>
      <sheetData sheetId="12">
        <row r="29">
          <cell r="D29">
            <v>480.98333333333335</v>
          </cell>
        </row>
      </sheetData>
      <sheetData sheetId="13">
        <row r="26">
          <cell r="D26">
            <v>1245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735.83138238021695</v>
          </cell>
        </row>
      </sheetData>
      <sheetData sheetId="3">
        <row r="8">
          <cell r="E8">
            <v>584.36920210437643</v>
          </cell>
        </row>
      </sheetData>
      <sheetData sheetId="4"/>
      <sheetData sheetId="5">
        <row r="8">
          <cell r="E8">
            <v>151.46218027584052</v>
          </cell>
        </row>
      </sheetData>
      <sheetData sheetId="6"/>
      <sheetData sheetId="7">
        <row r="27">
          <cell r="H27">
            <v>211125</v>
          </cell>
        </row>
      </sheetData>
      <sheetData sheetId="8">
        <row r="28">
          <cell r="H28">
            <v>119037.5</v>
          </cell>
        </row>
      </sheetData>
      <sheetData sheetId="9">
        <row r="5">
          <cell r="I5">
            <v>438.68864969724416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2.4319999999999999</v>
          </cell>
        </row>
      </sheetData>
      <sheetData sheetId="21"/>
      <sheetData sheetId="22"/>
      <sheetData sheetId="23">
        <row r="9">
          <cell r="D9">
            <v>3.8880000000000003</v>
          </cell>
        </row>
      </sheetData>
      <sheetData sheetId="24"/>
      <sheetData sheetId="25"/>
      <sheetData sheetId="26"/>
    </sheetDataSet>
  </externalBook>
</externalLink>
</file>

<file path=xl/externalLinks/externalLink2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16.192782591953161</v>
          </cell>
        </row>
      </sheetData>
      <sheetData sheetId="1"/>
      <sheetData sheetId="2"/>
      <sheetData sheetId="3"/>
      <sheetData sheetId="4"/>
      <sheetData sheetId="5">
        <row r="158">
          <cell r="H158">
            <v>3265.5073007714254</v>
          </cell>
        </row>
        <row r="174">
          <cell r="H174">
            <v>0.29206840642096571</v>
          </cell>
        </row>
      </sheetData>
      <sheetData sheetId="6"/>
      <sheetData sheetId="7"/>
      <sheetData sheetId="8">
        <row r="21">
          <cell r="D21">
            <v>345441</v>
          </cell>
        </row>
      </sheetData>
      <sheetData sheetId="9">
        <row r="21">
          <cell r="D21">
            <v>85740</v>
          </cell>
        </row>
      </sheetData>
      <sheetData sheetId="10">
        <row r="16">
          <cell r="D16">
            <v>395.59279200000003</v>
          </cell>
        </row>
      </sheetData>
      <sheetData sheetId="11">
        <row r="26">
          <cell r="C26">
            <v>1816.2060000000001</v>
          </cell>
        </row>
      </sheetData>
      <sheetData sheetId="12">
        <row r="29">
          <cell r="D29">
            <v>480.98333333333335</v>
          </cell>
        </row>
      </sheetData>
      <sheetData sheetId="13">
        <row r="26">
          <cell r="D26">
            <v>1245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16.228804085227452</v>
          </cell>
        </row>
      </sheetData>
      <sheetData sheetId="1"/>
      <sheetData sheetId="2"/>
      <sheetData sheetId="3"/>
      <sheetData sheetId="4"/>
      <sheetData sheetId="5">
        <row r="158">
          <cell r="H158">
            <v>3288.9290552201355</v>
          </cell>
        </row>
        <row r="174">
          <cell r="H174">
            <v>0.29256492271188134</v>
          </cell>
        </row>
      </sheetData>
      <sheetData sheetId="6"/>
      <sheetData sheetId="7"/>
      <sheetData sheetId="8">
        <row r="21">
          <cell r="D21">
            <v>348402</v>
          </cell>
        </row>
      </sheetData>
      <sheetData sheetId="9">
        <row r="21">
          <cell r="D21">
            <v>85740</v>
          </cell>
        </row>
      </sheetData>
      <sheetData sheetId="10">
        <row r="16">
          <cell r="D16">
            <v>395.59279200000003</v>
          </cell>
        </row>
      </sheetData>
      <sheetData sheetId="11">
        <row r="26">
          <cell r="C26">
            <v>1838.7279999999998</v>
          </cell>
        </row>
      </sheetData>
      <sheetData sheetId="12">
        <row r="29">
          <cell r="D29">
            <v>480.98333333333335</v>
          </cell>
        </row>
      </sheetData>
      <sheetData sheetId="13">
        <row r="26">
          <cell r="D26">
            <v>1245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16.25528036025338</v>
          </cell>
        </row>
      </sheetData>
      <sheetData sheetId="1"/>
      <sheetData sheetId="2"/>
      <sheetData sheetId="3"/>
      <sheetData sheetId="4"/>
      <sheetData sheetId="5">
        <row r="158">
          <cell r="H158">
            <v>3325.299614813237</v>
          </cell>
        </row>
        <row r="174">
          <cell r="H174">
            <v>0.29276971815777963</v>
          </cell>
        </row>
      </sheetData>
      <sheetData sheetId="6"/>
      <sheetData sheetId="7"/>
      <sheetData sheetId="8">
        <row r="21">
          <cell r="D21">
            <v>353000</v>
          </cell>
        </row>
      </sheetData>
      <sheetData sheetId="9">
        <row r="21">
          <cell r="D21">
            <v>85740</v>
          </cell>
        </row>
      </sheetData>
      <sheetData sheetId="10">
        <row r="16">
          <cell r="D16">
            <v>395.59279200000003</v>
          </cell>
        </row>
      </sheetData>
      <sheetData sheetId="11">
        <row r="26">
          <cell r="C26">
            <v>1842.502</v>
          </cell>
        </row>
      </sheetData>
      <sheetData sheetId="12">
        <row r="29">
          <cell r="D29">
            <v>480.98333333333335</v>
          </cell>
        </row>
      </sheetData>
      <sheetData sheetId="13">
        <row r="26">
          <cell r="D26">
            <v>1245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16.324580134948054</v>
          </cell>
        </row>
      </sheetData>
      <sheetData sheetId="1"/>
      <sheetData sheetId="2"/>
      <sheetData sheetId="3"/>
      <sheetData sheetId="4"/>
      <sheetData sheetId="5">
        <row r="158">
          <cell r="H158">
            <v>3411.0609824295611</v>
          </cell>
        </row>
        <row r="174">
          <cell r="H174">
            <v>0.29317959576320057</v>
          </cell>
        </row>
      </sheetData>
      <sheetData sheetId="6"/>
      <sheetData sheetId="7"/>
      <sheetData sheetId="8">
        <row r="21">
          <cell r="D21">
            <v>363473</v>
          </cell>
        </row>
      </sheetData>
      <sheetData sheetId="9">
        <row r="21">
          <cell r="D21">
            <v>86223.333333333328</v>
          </cell>
        </row>
      </sheetData>
      <sheetData sheetId="10">
        <row r="16">
          <cell r="D16">
            <v>395.59279200000003</v>
          </cell>
        </row>
      </sheetData>
      <sheetData sheetId="11">
        <row r="26">
          <cell r="C26">
            <v>1852.0739999999998</v>
          </cell>
        </row>
      </sheetData>
      <sheetData sheetId="12">
        <row r="29">
          <cell r="D29">
            <v>488.31666666666666</v>
          </cell>
        </row>
      </sheetData>
      <sheetData sheetId="13">
        <row r="26">
          <cell r="D26">
            <v>1245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16.381502601465858</v>
          </cell>
        </row>
      </sheetData>
      <sheetData sheetId="1"/>
      <sheetData sheetId="2"/>
      <sheetData sheetId="3"/>
      <sheetData sheetId="4"/>
      <sheetData sheetId="5">
        <row r="158">
          <cell r="H158">
            <v>3389.1105033362915</v>
          </cell>
        </row>
        <row r="174">
          <cell r="H174">
            <v>0.29441095006540602</v>
          </cell>
        </row>
      </sheetData>
      <sheetData sheetId="6"/>
      <sheetData sheetId="7"/>
      <sheetData sheetId="8">
        <row r="21">
          <cell r="D21">
            <v>360698</v>
          </cell>
        </row>
      </sheetData>
      <sheetData sheetId="9">
        <row r="21">
          <cell r="D21">
            <v>86223.333333333328</v>
          </cell>
        </row>
      </sheetData>
      <sheetData sheetId="10">
        <row r="16">
          <cell r="D16">
            <v>395.59279200000003</v>
          </cell>
        </row>
      </sheetData>
      <sheetData sheetId="11">
        <row r="26">
          <cell r="C26">
            <v>1834.172</v>
          </cell>
        </row>
      </sheetData>
      <sheetData sheetId="12">
        <row r="29">
          <cell r="D29">
            <v>488.31666666666666</v>
          </cell>
        </row>
      </sheetData>
      <sheetData sheetId="13">
        <row r="26">
          <cell r="D26">
            <v>1245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16.40949822949684</v>
          </cell>
        </row>
      </sheetData>
      <sheetData sheetId="1"/>
      <sheetData sheetId="2"/>
      <sheetData sheetId="3"/>
      <sheetData sheetId="4"/>
      <sheetData sheetId="5">
        <row r="158">
          <cell r="H158">
            <v>3381.1442591940099</v>
          </cell>
        </row>
        <row r="174">
          <cell r="H174">
            <v>0.29511753634556298</v>
          </cell>
        </row>
      </sheetData>
      <sheetData sheetId="6"/>
      <sheetData sheetId="7"/>
      <sheetData sheetId="8">
        <row r="21">
          <cell r="D21">
            <v>359666</v>
          </cell>
        </row>
      </sheetData>
      <sheetData sheetId="9">
        <row r="21">
          <cell r="D21">
            <v>86223.333333333328</v>
          </cell>
        </row>
      </sheetData>
      <sheetData sheetId="10">
        <row r="16">
          <cell r="D16">
            <v>395.59279200000003</v>
          </cell>
        </row>
      </sheetData>
      <sheetData sheetId="11">
        <row r="26">
          <cell r="C26">
            <v>1908.3720000000001</v>
          </cell>
        </row>
      </sheetData>
      <sheetData sheetId="12">
        <row r="29">
          <cell r="D29">
            <v>488.31666666666666</v>
          </cell>
        </row>
      </sheetData>
      <sheetData sheetId="13">
        <row r="26">
          <cell r="D26">
            <v>1269.9000000000001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16.445268536905104</v>
          </cell>
        </row>
      </sheetData>
      <sheetData sheetId="1"/>
      <sheetData sheetId="2"/>
      <sheetData sheetId="3"/>
      <sheetData sheetId="4"/>
      <sheetData sheetId="5">
        <row r="158">
          <cell r="H158">
            <v>3350.1683759041921</v>
          </cell>
        </row>
        <row r="174">
          <cell r="H174">
            <v>0.2960619124618688</v>
          </cell>
        </row>
      </sheetData>
      <sheetData sheetId="6"/>
      <sheetData sheetId="7"/>
      <sheetData sheetId="8">
        <row r="21">
          <cell r="D21">
            <v>355750</v>
          </cell>
        </row>
      </sheetData>
      <sheetData sheetId="9">
        <row r="21">
          <cell r="D21">
            <v>86223.333333333328</v>
          </cell>
        </row>
      </sheetData>
      <sheetData sheetId="10">
        <row r="16">
          <cell r="D16">
            <v>395.59279200000003</v>
          </cell>
        </row>
      </sheetData>
      <sheetData sheetId="11">
        <row r="26">
          <cell r="C26">
            <v>1925.8260000000002</v>
          </cell>
        </row>
      </sheetData>
      <sheetData sheetId="12">
        <row r="29">
          <cell r="D29">
            <v>488.31666666666666</v>
          </cell>
        </row>
      </sheetData>
      <sheetData sheetId="13">
        <row r="26">
          <cell r="D26">
            <v>1269.9000000000001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16.725905460845418</v>
          </cell>
        </row>
      </sheetData>
      <sheetData sheetId="1"/>
      <sheetData sheetId="2"/>
      <sheetData sheetId="3"/>
      <sheetData sheetId="4"/>
      <sheetData sheetId="5">
        <row r="158">
          <cell r="H158">
            <v>3337.6388051352765</v>
          </cell>
        </row>
        <row r="174">
          <cell r="H174">
            <v>0.2962987619918383</v>
          </cell>
        </row>
      </sheetData>
      <sheetData sheetId="6"/>
      <sheetData sheetId="7"/>
      <sheetData sheetId="8">
        <row r="21">
          <cell r="D21">
            <v>354166</v>
          </cell>
        </row>
      </sheetData>
      <sheetData sheetId="9">
        <row r="21">
          <cell r="D21">
            <v>86223.333333333328</v>
          </cell>
        </row>
      </sheetData>
      <sheetData sheetId="10">
        <row r="16">
          <cell r="D16">
            <v>395.59279200000003</v>
          </cell>
        </row>
      </sheetData>
      <sheetData sheetId="11">
        <row r="26">
          <cell r="C26">
            <v>1922.0920000000001</v>
          </cell>
        </row>
      </sheetData>
      <sheetData sheetId="12">
        <row r="29">
          <cell r="D29">
            <v>488.31666666666666</v>
          </cell>
        </row>
      </sheetData>
      <sheetData sheetId="13">
        <row r="26">
          <cell r="D26">
            <v>1269.9000000000001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16.756541554533371</v>
          </cell>
        </row>
      </sheetData>
      <sheetData sheetId="1"/>
      <sheetData sheetId="2"/>
      <sheetData sheetId="3"/>
      <sheetData sheetId="4"/>
      <sheetData sheetId="5">
        <row r="158">
          <cell r="H158">
            <v>3350.1683759041921</v>
          </cell>
        </row>
        <row r="174">
          <cell r="H174">
            <v>0.29736543753500894</v>
          </cell>
        </row>
      </sheetData>
      <sheetData sheetId="6"/>
      <sheetData sheetId="7"/>
      <sheetData sheetId="8">
        <row r="21">
          <cell r="D21">
            <v>355750</v>
          </cell>
        </row>
      </sheetData>
      <sheetData sheetId="9">
        <row r="21">
          <cell r="D21">
            <v>86223.333333333328</v>
          </cell>
        </row>
      </sheetData>
      <sheetData sheetId="10">
        <row r="16">
          <cell r="D16">
            <v>395.59279200000003</v>
          </cell>
        </row>
      </sheetData>
      <sheetData sheetId="11">
        <row r="26">
          <cell r="C26">
            <v>1926.9639999999999</v>
          </cell>
        </row>
      </sheetData>
      <sheetData sheetId="12">
        <row r="29">
          <cell r="D29">
            <v>488.31666666666666</v>
          </cell>
        </row>
      </sheetData>
      <sheetData sheetId="13">
        <row r="26">
          <cell r="D26">
            <v>1269.9000000000001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  <sheetName val=""/>
    </sheetNames>
    <sheetDataSet>
      <sheetData sheetId="0">
        <row r="13">
          <cell r="C13">
            <v>16.745753109315299</v>
          </cell>
        </row>
      </sheetData>
      <sheetData sheetId="1"/>
      <sheetData sheetId="2"/>
      <sheetData sheetId="3"/>
      <sheetData sheetId="4"/>
      <sheetData sheetId="5">
        <row r="158">
          <cell r="H158">
            <v>3326.8336323635981</v>
          </cell>
        </row>
        <row r="174">
          <cell r="H174">
            <v>0.29647334122240393</v>
          </cell>
        </row>
      </sheetData>
      <sheetData sheetId="6"/>
      <sheetData sheetId="7"/>
      <sheetData sheetId="8">
        <row r="21">
          <cell r="D21">
            <v>352800</v>
          </cell>
        </row>
      </sheetData>
      <sheetData sheetId="9">
        <row r="21">
          <cell r="D21">
            <v>86223.333333333328</v>
          </cell>
        </row>
      </sheetData>
      <sheetData sheetId="10">
        <row r="16">
          <cell r="D16">
            <v>395.59279200000003</v>
          </cell>
        </row>
      </sheetData>
      <sheetData sheetId="11">
        <row r="26">
          <cell r="C26">
            <v>1926.9639999999999</v>
          </cell>
        </row>
      </sheetData>
      <sheetData sheetId="12">
        <row r="29">
          <cell r="D29">
            <v>488.31666666666666</v>
          </cell>
        </row>
      </sheetData>
      <sheetData sheetId="13">
        <row r="26">
          <cell r="D26">
            <v>1269.9000000000001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  <sheetName val="RESUMOb"/>
    </sheetNames>
    <sheetDataSet>
      <sheetData sheetId="0"/>
      <sheetData sheetId="1"/>
      <sheetData sheetId="2">
        <row r="20">
          <cell r="D20">
            <v>739.29557556540135</v>
          </cell>
        </row>
      </sheetData>
      <sheetData sheetId="3">
        <row r="8">
          <cell r="E8">
            <v>586.36311565227379</v>
          </cell>
        </row>
      </sheetData>
      <sheetData sheetId="4"/>
      <sheetData sheetId="5">
        <row r="8">
          <cell r="E8">
            <v>152.9324599131275</v>
          </cell>
        </row>
      </sheetData>
      <sheetData sheetId="6"/>
      <sheetData sheetId="7">
        <row r="27">
          <cell r="H27">
            <v>211125</v>
          </cell>
        </row>
      </sheetData>
      <sheetData sheetId="8">
        <row r="28">
          <cell r="H28">
            <v>119037.5</v>
          </cell>
        </row>
      </sheetData>
      <sheetData sheetId="9">
        <row r="5">
          <cell r="I5">
            <v>438.73440291371099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2.4300000000000002</v>
          </cell>
        </row>
      </sheetData>
      <sheetData sheetId="21"/>
      <sheetData sheetId="22"/>
      <sheetData sheetId="23">
        <row r="9">
          <cell r="D9">
            <v>3.8880000000000003</v>
          </cell>
        </row>
      </sheetData>
      <sheetData sheetId="24"/>
      <sheetData sheetId="25"/>
      <sheetData sheetId="26"/>
      <sheetData sheetId="27" refreshError="1"/>
    </sheetDataSet>
  </externalBook>
</externalLink>
</file>

<file path=xl/externalLinks/externalLink2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16.750692281811958</v>
          </cell>
        </row>
      </sheetData>
      <sheetData sheetId="1"/>
      <sheetData sheetId="2"/>
      <sheetData sheetId="3"/>
      <sheetData sheetId="4"/>
      <sheetData sheetId="5">
        <row r="158">
          <cell r="H158">
            <v>3344.7186313163284</v>
          </cell>
        </row>
        <row r="174">
          <cell r="H174">
            <v>0.29697734590248204</v>
          </cell>
        </row>
      </sheetData>
      <sheetData sheetId="6"/>
      <sheetData sheetId="7"/>
      <sheetData sheetId="8">
        <row r="21">
          <cell r="D21">
            <v>353000</v>
          </cell>
        </row>
      </sheetData>
      <sheetData sheetId="9">
        <row r="21">
          <cell r="D21">
            <v>88890</v>
          </cell>
        </row>
      </sheetData>
      <sheetData sheetId="10">
        <row r="16">
          <cell r="D16">
            <v>412.11078400000008</v>
          </cell>
        </row>
      </sheetData>
      <sheetData sheetId="11">
        <row r="26">
          <cell r="C26">
            <v>1924.5840000000001</v>
          </cell>
        </row>
      </sheetData>
      <sheetData sheetId="12">
        <row r="29">
          <cell r="D29">
            <v>501.8</v>
          </cell>
        </row>
      </sheetData>
      <sheetData sheetId="13">
        <row r="26">
          <cell r="D26">
            <v>1294.9000000000001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16.765845441810317</v>
          </cell>
        </row>
      </sheetData>
      <sheetData sheetId="1"/>
      <sheetData sheetId="2"/>
      <sheetData sheetId="3"/>
      <sheetData sheetId="4"/>
      <sheetData sheetId="5">
        <row r="158">
          <cell r="H158">
            <v>3349.8601849778142</v>
          </cell>
        </row>
        <row r="174">
          <cell r="H174">
            <v>0.29688825269871133</v>
          </cell>
        </row>
      </sheetData>
      <sheetData sheetId="6"/>
      <sheetData sheetId="7"/>
      <sheetData sheetId="8">
        <row r="21">
          <cell r="D21">
            <v>353650</v>
          </cell>
        </row>
      </sheetData>
      <sheetData sheetId="9">
        <row r="21">
          <cell r="D21">
            <v>88890</v>
          </cell>
        </row>
      </sheetData>
      <sheetData sheetId="10">
        <row r="16">
          <cell r="D16">
            <v>412.11078400000008</v>
          </cell>
        </row>
      </sheetData>
      <sheetData sheetId="11">
        <row r="26">
          <cell r="C26">
            <v>1924.5840000000001</v>
          </cell>
        </row>
      </sheetData>
      <sheetData sheetId="12">
        <row r="29">
          <cell r="D29">
            <v>501.8</v>
          </cell>
        </row>
      </sheetData>
      <sheetData sheetId="13">
        <row r="26">
          <cell r="D26">
            <v>1294.9000000000001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16.786935122493457</v>
          </cell>
        </row>
      </sheetData>
      <sheetData sheetId="1"/>
      <sheetData sheetId="2"/>
      <sheetData sheetId="3"/>
      <sheetData sheetId="4"/>
      <sheetData sheetId="5">
        <row r="158">
          <cell r="H158">
            <v>3370.9801054026902</v>
          </cell>
        </row>
        <row r="174">
          <cell r="H174">
            <v>0.29682887504817157</v>
          </cell>
        </row>
      </sheetData>
      <sheetData sheetId="6"/>
      <sheetData sheetId="7"/>
      <sheetData sheetId="8">
        <row r="21">
          <cell r="D21">
            <v>356320</v>
          </cell>
        </row>
      </sheetData>
      <sheetData sheetId="9">
        <row r="21">
          <cell r="D21">
            <v>88890</v>
          </cell>
        </row>
      </sheetData>
      <sheetData sheetId="10">
        <row r="16">
          <cell r="D16">
            <v>412.11078400000008</v>
          </cell>
        </row>
      </sheetData>
      <sheetData sheetId="11">
        <row r="26">
          <cell r="C26">
            <v>2094.52</v>
          </cell>
        </row>
      </sheetData>
      <sheetData sheetId="12">
        <row r="29">
          <cell r="D29">
            <v>501.8</v>
          </cell>
        </row>
      </sheetData>
      <sheetData sheetId="13">
        <row r="26">
          <cell r="D26">
            <v>1294.9000000000001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16.827570516289708</v>
          </cell>
        </row>
      </sheetData>
      <sheetData sheetId="1"/>
      <sheetData sheetId="2"/>
      <sheetData sheetId="3"/>
      <sheetData sheetId="4"/>
      <sheetData sheetId="5">
        <row r="158">
          <cell r="H158">
            <v>3392.4164291298116</v>
          </cell>
        </row>
        <row r="174">
          <cell r="H174">
            <v>0.29792714188584979</v>
          </cell>
        </row>
      </sheetData>
      <sheetData sheetId="6"/>
      <sheetData sheetId="7"/>
      <sheetData sheetId="8">
        <row r="21">
          <cell r="D21">
            <v>359000</v>
          </cell>
        </row>
      </sheetData>
      <sheetData sheetId="9">
        <row r="21">
          <cell r="D21">
            <v>88890</v>
          </cell>
        </row>
      </sheetData>
      <sheetData sheetId="10">
        <row r="16">
          <cell r="D16">
            <v>412.11078400000008</v>
          </cell>
        </row>
      </sheetData>
      <sheetData sheetId="11">
        <row r="26">
          <cell r="C26">
            <v>2099.8759999999997</v>
          </cell>
        </row>
      </sheetData>
      <sheetData sheetId="12">
        <row r="29">
          <cell r="D29">
            <v>501.8</v>
          </cell>
        </row>
      </sheetData>
      <sheetData sheetId="13">
        <row r="26">
          <cell r="D26">
            <v>1324.9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16.869024789462625</v>
          </cell>
        </row>
      </sheetData>
      <sheetData sheetId="1"/>
      <sheetData sheetId="2"/>
      <sheetData sheetId="3"/>
      <sheetData sheetId="4"/>
      <sheetData sheetId="5">
        <row r="158">
          <cell r="H158">
            <v>3392.4164291298116</v>
          </cell>
        </row>
        <row r="174">
          <cell r="H174">
            <v>0.29846341074124433</v>
          </cell>
        </row>
      </sheetData>
      <sheetData sheetId="6"/>
      <sheetData sheetId="7"/>
      <sheetData sheetId="8">
        <row r="21">
          <cell r="D21">
            <v>359000</v>
          </cell>
        </row>
      </sheetData>
      <sheetData sheetId="9">
        <row r="21">
          <cell r="D21">
            <v>88890</v>
          </cell>
        </row>
      </sheetData>
      <sheetData sheetId="10">
        <row r="16">
          <cell r="D16">
            <v>412.11078400000008</v>
          </cell>
        </row>
      </sheetData>
      <sheetData sheetId="11">
        <row r="26">
          <cell r="C26">
            <v>2102.6320000000005</v>
          </cell>
        </row>
      </sheetData>
      <sheetData sheetId="12">
        <row r="29">
          <cell r="D29">
            <v>501.8</v>
          </cell>
        </row>
      </sheetData>
      <sheetData sheetId="13">
        <row r="26">
          <cell r="D26">
            <v>1324.9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16.944949901273883</v>
          </cell>
        </row>
      </sheetData>
      <sheetData sheetId="1"/>
      <sheetData sheetId="2"/>
      <sheetData sheetId="3"/>
      <sheetData sheetId="4"/>
      <sheetData sheetId="5">
        <row r="158">
          <cell r="H158">
            <v>3392.4164291298116</v>
          </cell>
        </row>
        <row r="174">
          <cell r="H174">
            <v>0.29923941560917156</v>
          </cell>
        </row>
      </sheetData>
      <sheetData sheetId="6"/>
      <sheetData sheetId="7"/>
      <sheetData sheetId="8">
        <row r="21">
          <cell r="D21">
            <v>359000</v>
          </cell>
        </row>
      </sheetData>
      <sheetData sheetId="9">
        <row r="21">
          <cell r="D21">
            <v>88890</v>
          </cell>
        </row>
      </sheetData>
      <sheetData sheetId="10">
        <row r="16">
          <cell r="D16">
            <v>412.11078400000008</v>
          </cell>
        </row>
      </sheetData>
      <sheetData sheetId="11">
        <row r="26">
          <cell r="C26">
            <v>2094.5740000000001</v>
          </cell>
        </row>
      </sheetData>
      <sheetData sheetId="12">
        <row r="29">
          <cell r="D29">
            <v>501.8</v>
          </cell>
        </row>
      </sheetData>
      <sheetData sheetId="13">
        <row r="26">
          <cell r="D26">
            <v>1324.9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16.999732063770363</v>
          </cell>
        </row>
      </sheetData>
      <sheetData sheetId="1"/>
      <sheetData sheetId="2"/>
      <sheetData sheetId="3"/>
      <sheetData sheetId="4"/>
      <sheetData sheetId="5">
        <row r="158">
          <cell r="H158">
            <v>3376.7702858337802</v>
          </cell>
        </row>
        <row r="174">
          <cell r="H174">
            <v>0.29992766626507267</v>
          </cell>
        </row>
      </sheetData>
      <sheetData sheetId="6"/>
      <sheetData sheetId="7"/>
      <sheetData sheetId="8">
        <row r="21">
          <cell r="D21">
            <v>357022</v>
          </cell>
        </row>
      </sheetData>
      <sheetData sheetId="9">
        <row r="21">
          <cell r="D21">
            <v>88890</v>
          </cell>
        </row>
      </sheetData>
      <sheetData sheetId="10">
        <row r="16">
          <cell r="D16">
            <v>412.11078400000008</v>
          </cell>
        </row>
      </sheetData>
      <sheetData sheetId="11">
        <row r="26">
          <cell r="C26">
            <v>2088.384</v>
          </cell>
        </row>
      </sheetData>
      <sheetData sheetId="12">
        <row r="29">
          <cell r="D29">
            <v>501.8</v>
          </cell>
        </row>
      </sheetData>
      <sheetData sheetId="13">
        <row r="26">
          <cell r="D26">
            <v>1324.9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17.013779119260377</v>
          </cell>
        </row>
      </sheetData>
      <sheetData sheetId="1"/>
      <sheetData sheetId="2"/>
      <sheetData sheetId="3"/>
      <sheetData sheetId="4"/>
      <sheetData sheetId="5">
        <row r="158">
          <cell r="H158">
            <v>3375.8052557619321</v>
          </cell>
        </row>
        <row r="174">
          <cell r="H174">
            <v>0.30046753606434978</v>
          </cell>
        </row>
      </sheetData>
      <sheetData sheetId="6"/>
      <sheetData sheetId="7"/>
      <sheetData sheetId="8">
        <row r="21">
          <cell r="D21">
            <v>356900</v>
          </cell>
        </row>
      </sheetData>
      <sheetData sheetId="9">
        <row r="21">
          <cell r="D21">
            <v>88890</v>
          </cell>
        </row>
      </sheetData>
      <sheetData sheetId="10">
        <row r="16">
          <cell r="D16">
            <v>412.11078400000008</v>
          </cell>
        </row>
      </sheetData>
      <sheetData sheetId="11">
        <row r="26">
          <cell r="C26">
            <v>2084.7840000000001</v>
          </cell>
        </row>
      </sheetData>
      <sheetData sheetId="12">
        <row r="29">
          <cell r="D29">
            <v>501.8</v>
          </cell>
        </row>
      </sheetData>
      <sheetData sheetId="13">
        <row r="26">
          <cell r="D26">
            <v>1324.9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17.04776482589056</v>
          </cell>
        </row>
      </sheetData>
      <sheetData sheetId="1"/>
      <sheetData sheetId="2"/>
      <sheetData sheetId="3"/>
      <sheetData sheetId="4"/>
      <sheetData sheetId="5">
        <row r="158">
          <cell r="H158">
            <v>3384.0025320017512</v>
          </cell>
        </row>
        <row r="174">
          <cell r="H174">
            <v>0.30067786333959479</v>
          </cell>
        </row>
      </sheetData>
      <sheetData sheetId="6"/>
      <sheetData sheetId="7"/>
      <sheetData sheetId="8">
        <row r="21">
          <cell r="D21">
            <v>357000</v>
          </cell>
        </row>
      </sheetData>
      <sheetData sheetId="9">
        <row r="21">
          <cell r="D21">
            <v>90096.666666666672</v>
          </cell>
        </row>
      </sheetData>
      <sheetData sheetId="10">
        <row r="16">
          <cell r="D16">
            <v>412.11078400000008</v>
          </cell>
        </row>
      </sheetData>
      <sheetData sheetId="11">
        <row r="26">
          <cell r="C26">
            <v>2078.9520000000002</v>
          </cell>
        </row>
      </sheetData>
      <sheetData sheetId="12">
        <row r="29">
          <cell r="D29">
            <v>513.4666666666667</v>
          </cell>
        </row>
      </sheetData>
      <sheetData sheetId="13">
        <row r="26">
          <cell r="D26">
            <v>1339.9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17.091331402720815</v>
          </cell>
        </row>
      </sheetData>
      <sheetData sheetId="1"/>
      <sheetData sheetId="2"/>
      <sheetData sheetId="3"/>
      <sheetData sheetId="4"/>
      <sheetData sheetId="5">
        <row r="158">
          <cell r="H158">
            <v>3392.9013748774014</v>
          </cell>
        </row>
        <row r="174">
          <cell r="H174">
            <v>0.30130928685260794</v>
          </cell>
        </row>
      </sheetData>
      <sheetData sheetId="6"/>
      <sheetData sheetId="7"/>
      <sheetData sheetId="8">
        <row r="21">
          <cell r="D21">
            <v>358125</v>
          </cell>
        </row>
      </sheetData>
      <sheetData sheetId="9">
        <row r="21">
          <cell r="D21">
            <v>90096.666666666672</v>
          </cell>
        </row>
      </sheetData>
      <sheetData sheetId="10">
        <row r="16">
          <cell r="D16">
            <v>412.11078400000008</v>
          </cell>
        </row>
      </sheetData>
      <sheetData sheetId="11">
        <row r="26">
          <cell r="C26">
            <v>2087.0780000000004</v>
          </cell>
        </row>
      </sheetData>
      <sheetData sheetId="12">
        <row r="29">
          <cell r="D29">
            <v>513.4666666666667</v>
          </cell>
        </row>
      </sheetData>
      <sheetData sheetId="13">
        <row r="26">
          <cell r="D26">
            <v>1339.9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740.75238918433809</v>
          </cell>
        </row>
      </sheetData>
      <sheetData sheetId="3">
        <row r="8">
          <cell r="E8">
            <v>587.15575486693569</v>
          </cell>
        </row>
      </sheetData>
      <sheetData sheetId="4"/>
      <sheetData sheetId="5">
        <row r="8">
          <cell r="E8">
            <v>153.59663431740239</v>
          </cell>
        </row>
      </sheetData>
      <sheetData sheetId="6"/>
      <sheetData sheetId="7">
        <row r="27">
          <cell r="H27">
            <v>211125</v>
          </cell>
        </row>
      </sheetData>
      <sheetData sheetId="8">
        <row r="28">
          <cell r="H28">
            <v>119687.5</v>
          </cell>
        </row>
      </sheetData>
      <sheetData sheetId="9">
        <row r="5">
          <cell r="I5">
            <v>438.78445379330037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2.4289999999999998</v>
          </cell>
        </row>
      </sheetData>
      <sheetData sheetId="21"/>
      <sheetData sheetId="22"/>
      <sheetData sheetId="23">
        <row r="9">
          <cell r="D9">
            <v>3.8880000000000003</v>
          </cell>
        </row>
      </sheetData>
      <sheetData sheetId="24"/>
      <sheetData sheetId="25"/>
      <sheetData sheetId="26"/>
    </sheetDataSet>
  </externalBook>
</externalLink>
</file>

<file path=xl/externalLinks/externalLink2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17.365747459339222</v>
          </cell>
        </row>
      </sheetData>
      <sheetData sheetId="1"/>
      <sheetData sheetId="2"/>
      <sheetData sheetId="3"/>
      <sheetData sheetId="4"/>
      <sheetData sheetId="5">
        <row r="158">
          <cell r="H158">
            <v>3393.5895520597851</v>
          </cell>
        </row>
        <row r="174">
          <cell r="H174">
            <v>0.30260491678607415</v>
          </cell>
        </row>
      </sheetData>
      <sheetData sheetId="6"/>
      <sheetData sheetId="7"/>
      <sheetData sheetId="8">
        <row r="21">
          <cell r="D21">
            <v>358212</v>
          </cell>
        </row>
      </sheetData>
      <sheetData sheetId="9">
        <row r="21">
          <cell r="D21">
            <v>90096.666666666672</v>
          </cell>
        </row>
      </sheetData>
      <sheetData sheetId="10">
        <row r="16">
          <cell r="D16">
            <v>430.6557692799999</v>
          </cell>
        </row>
      </sheetData>
      <sheetData sheetId="11">
        <row r="26">
          <cell r="C26">
            <v>2111.0439999999999</v>
          </cell>
        </row>
      </sheetData>
      <sheetData sheetId="12">
        <row r="29">
          <cell r="D29">
            <v>520.78333333333342</v>
          </cell>
        </row>
      </sheetData>
      <sheetData sheetId="13">
        <row r="26">
          <cell r="D26">
            <v>1339.9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17.513437199611005</v>
          </cell>
        </row>
      </sheetData>
      <sheetData sheetId="1"/>
      <sheetData sheetId="2"/>
      <sheetData sheetId="3"/>
      <sheetData sheetId="4"/>
      <sheetData sheetId="5">
        <row r="158">
          <cell r="H158">
            <v>3424.8343781565118</v>
          </cell>
        </row>
        <row r="174">
          <cell r="H174">
            <v>0.30693216709611498</v>
          </cell>
        </row>
      </sheetData>
      <sheetData sheetId="6"/>
      <sheetData sheetId="7"/>
      <sheetData sheetId="8">
        <row r="21">
          <cell r="D21">
            <v>362162</v>
          </cell>
        </row>
      </sheetData>
      <sheetData sheetId="9">
        <row r="21">
          <cell r="D21">
            <v>90096.666666666672</v>
          </cell>
        </row>
      </sheetData>
      <sheetData sheetId="10">
        <row r="16">
          <cell r="D16">
            <v>430.6557692799999</v>
          </cell>
        </row>
      </sheetData>
      <sheetData sheetId="11">
        <row r="26">
          <cell r="C26">
            <v>2138.002</v>
          </cell>
        </row>
      </sheetData>
      <sheetData sheetId="12">
        <row r="29">
          <cell r="D29">
            <v>520.78333333333342</v>
          </cell>
        </row>
      </sheetData>
      <sheetData sheetId="13">
        <row r="26">
          <cell r="D26">
            <v>1339.9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17.564640709588417</v>
          </cell>
        </row>
      </sheetData>
      <sheetData sheetId="1"/>
      <sheetData sheetId="2"/>
      <sheetData sheetId="3"/>
      <sheetData sheetId="4"/>
      <sheetData sheetId="5">
        <row r="158">
          <cell r="H158">
            <v>3433.1399648404517</v>
          </cell>
        </row>
        <row r="174">
          <cell r="H174">
            <v>0.30769949751385528</v>
          </cell>
        </row>
      </sheetData>
      <sheetData sheetId="6"/>
      <sheetData sheetId="7"/>
      <sheetData sheetId="8">
        <row r="21">
          <cell r="D21">
            <v>363212</v>
          </cell>
        </row>
      </sheetData>
      <sheetData sheetId="9">
        <row r="21">
          <cell r="D21">
            <v>90096.666666666672</v>
          </cell>
        </row>
      </sheetData>
      <sheetData sheetId="10">
        <row r="16">
          <cell r="D16">
            <v>430.6557692799999</v>
          </cell>
        </row>
      </sheetData>
      <sheetData sheetId="11">
        <row r="26">
          <cell r="C26">
            <v>2138.002</v>
          </cell>
        </row>
      </sheetData>
      <sheetData sheetId="12">
        <row r="29">
          <cell r="D29">
            <v>520.78333333333342</v>
          </cell>
        </row>
      </sheetData>
      <sheetData sheetId="13">
        <row r="26">
          <cell r="D26">
            <v>1339.9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17.618740830273996</v>
          </cell>
        </row>
      </sheetData>
      <sheetData sheetId="1"/>
      <sheetData sheetId="2"/>
      <sheetData sheetId="3"/>
      <sheetData sheetId="4"/>
      <sheetData sheetId="5">
        <row r="158">
          <cell r="H158">
            <v>3464.2186792034995</v>
          </cell>
        </row>
        <row r="174">
          <cell r="H174">
            <v>0.30769949751385528</v>
          </cell>
        </row>
      </sheetData>
      <sheetData sheetId="6"/>
      <sheetData sheetId="7"/>
      <sheetData sheetId="8">
        <row r="21">
          <cell r="D21">
            <v>367141</v>
          </cell>
        </row>
      </sheetData>
      <sheetData sheetId="9">
        <row r="21">
          <cell r="D21">
            <v>90096.666666666672</v>
          </cell>
        </row>
      </sheetData>
      <sheetData sheetId="10">
        <row r="16">
          <cell r="D16">
            <v>430.6557692799999</v>
          </cell>
        </row>
      </sheetData>
      <sheetData sheetId="11">
        <row r="26">
          <cell r="C26">
            <v>2138.002</v>
          </cell>
        </row>
      </sheetData>
      <sheetData sheetId="12">
        <row r="29">
          <cell r="D29">
            <v>520.78333333333342</v>
          </cell>
        </row>
      </sheetData>
      <sheetData sheetId="13">
        <row r="26">
          <cell r="D26">
            <v>1339.9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17.702746563029521</v>
          </cell>
        </row>
      </sheetData>
      <sheetData sheetId="1"/>
      <sheetData sheetId="2"/>
      <sheetData sheetId="3"/>
      <sheetData sheetId="4"/>
      <sheetData sheetId="5">
        <row r="158">
          <cell r="H158">
            <v>3471.1203395937182</v>
          </cell>
        </row>
        <row r="174">
          <cell r="H174">
            <v>0.3086225960063968</v>
          </cell>
        </row>
      </sheetData>
      <sheetData sheetId="6"/>
      <sheetData sheetId="7"/>
      <sheetData sheetId="8">
        <row r="21">
          <cell r="D21">
            <v>367250</v>
          </cell>
        </row>
      </sheetData>
      <sheetData sheetId="9">
        <row r="21">
          <cell r="D21">
            <v>91096.666666666672</v>
          </cell>
        </row>
      </sheetData>
      <sheetData sheetId="10">
        <row r="16">
          <cell r="D16">
            <v>430.6557692799999</v>
          </cell>
        </row>
      </sheetData>
      <sheetData sheetId="11">
        <row r="26">
          <cell r="C26">
            <v>2159.5920000000001</v>
          </cell>
        </row>
      </sheetData>
      <sheetData sheetId="12">
        <row r="29">
          <cell r="D29">
            <v>527.01666666666677</v>
          </cell>
        </row>
      </sheetData>
      <sheetData sheetId="13">
        <row r="26">
          <cell r="D26">
            <v>1339.9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17.774052139834843</v>
          </cell>
        </row>
      </sheetData>
      <sheetData sheetId="1"/>
      <sheetData sheetId="2"/>
      <sheetData sheetId="3"/>
      <sheetData sheetId="4"/>
      <sheetData sheetId="5">
        <row r="158">
          <cell r="H158">
            <v>3484.9629840669509</v>
          </cell>
        </row>
        <row r="174">
          <cell r="H174">
            <v>0.30985708639042236</v>
          </cell>
        </row>
      </sheetData>
      <sheetData sheetId="6"/>
      <sheetData sheetId="7"/>
      <sheetData sheetId="8">
        <row r="21">
          <cell r="D21">
            <v>369000</v>
          </cell>
        </row>
      </sheetData>
      <sheetData sheetId="9">
        <row r="21">
          <cell r="D21">
            <v>91096.666666666672</v>
          </cell>
        </row>
      </sheetData>
      <sheetData sheetId="10">
        <row r="16">
          <cell r="D16">
            <v>430.6557692799999</v>
          </cell>
        </row>
      </sheetData>
      <sheetData sheetId="11">
        <row r="26">
          <cell r="C26">
            <v>2141.1040000000003</v>
          </cell>
        </row>
      </sheetData>
      <sheetData sheetId="12">
        <row r="29">
          <cell r="D29">
            <v>527.01666666666677</v>
          </cell>
        </row>
      </sheetData>
      <sheetData sheetId="13">
        <row r="26">
          <cell r="D26">
            <v>1339.9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17.780314618099599</v>
          </cell>
        </row>
      </sheetData>
      <sheetData sheetId="1"/>
      <sheetData sheetId="2"/>
      <sheetData sheetId="3"/>
      <sheetData sheetId="4"/>
      <sheetData sheetId="5">
        <row r="158">
          <cell r="H158">
            <v>3529.2594463812984</v>
          </cell>
        </row>
        <row r="174">
          <cell r="H174">
            <v>0.30908244367444632</v>
          </cell>
        </row>
      </sheetData>
      <sheetData sheetId="6"/>
      <sheetData sheetId="7"/>
      <sheetData sheetId="8">
        <row r="21">
          <cell r="D21">
            <v>374600</v>
          </cell>
        </row>
      </sheetData>
      <sheetData sheetId="9">
        <row r="21">
          <cell r="D21">
            <v>91096.666666666672</v>
          </cell>
        </row>
      </sheetData>
      <sheetData sheetId="10">
        <row r="16">
          <cell r="D16">
            <v>430.6557692799999</v>
          </cell>
        </row>
      </sheetData>
      <sheetData sheetId="11">
        <row r="26">
          <cell r="C26">
            <v>2074.7439999999997</v>
          </cell>
        </row>
      </sheetData>
      <sheetData sheetId="12">
        <row r="29">
          <cell r="D29">
            <v>527.01666666666677</v>
          </cell>
        </row>
      </sheetData>
      <sheetData sheetId="13">
        <row r="26">
          <cell r="D26">
            <v>1339.9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17.810194778896314</v>
          </cell>
        </row>
      </sheetData>
      <sheetData sheetId="1"/>
      <sheetData sheetId="2"/>
      <sheetData sheetId="3"/>
      <sheetData sheetId="4"/>
      <sheetData sheetId="5">
        <row r="158">
          <cell r="H158">
            <v>3582.1225281039374</v>
          </cell>
        </row>
        <row r="174">
          <cell r="H174">
            <v>0.30951502226071903</v>
          </cell>
        </row>
      </sheetData>
      <sheetData sheetId="6"/>
      <sheetData sheetId="7"/>
      <sheetData sheetId="8">
        <row r="21">
          <cell r="D21">
            <v>381283</v>
          </cell>
        </row>
      </sheetData>
      <sheetData sheetId="9">
        <row r="21">
          <cell r="D21">
            <v>91096.666666666672</v>
          </cell>
        </row>
      </sheetData>
      <sheetData sheetId="10">
        <row r="16">
          <cell r="D16">
            <v>430.6557692799999</v>
          </cell>
        </row>
      </sheetData>
      <sheetData sheetId="11">
        <row r="26">
          <cell r="C26">
            <v>2130.694</v>
          </cell>
        </row>
      </sheetData>
      <sheetData sheetId="12">
        <row r="29">
          <cell r="D29">
            <v>527.01666666666677</v>
          </cell>
        </row>
      </sheetData>
      <sheetData sheetId="13">
        <row r="26">
          <cell r="D26">
            <v>1339.9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17.873082757997334</v>
          </cell>
        </row>
      </sheetData>
      <sheetData sheetId="1"/>
      <sheetData sheetId="2"/>
      <sheetData sheetId="3"/>
      <sheetData sheetId="4"/>
      <sheetData sheetId="5">
        <row r="158">
          <cell r="H158">
            <v>3635.6343877428358</v>
          </cell>
        </row>
        <row r="174">
          <cell r="H174">
            <v>0.31062927634085763</v>
          </cell>
        </row>
      </sheetData>
      <sheetData sheetId="6"/>
      <sheetData sheetId="7"/>
      <sheetData sheetId="8">
        <row r="21">
          <cell r="D21">
            <v>387000</v>
          </cell>
        </row>
      </sheetData>
      <sheetData sheetId="9">
        <row r="21">
          <cell r="D21">
            <v>92430</v>
          </cell>
        </row>
      </sheetData>
      <sheetData sheetId="10">
        <row r="16">
          <cell r="D16">
            <v>430.6557692799999</v>
          </cell>
        </row>
      </sheetData>
      <sheetData sheetId="11">
        <row r="26">
          <cell r="C26">
            <v>2171.4639999999999</v>
          </cell>
        </row>
      </sheetData>
      <sheetData sheetId="12">
        <row r="29">
          <cell r="D29">
            <v>538.68333333333339</v>
          </cell>
        </row>
      </sheetData>
      <sheetData sheetId="13">
        <row r="26">
          <cell r="D26">
            <v>1369.9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17.967507308683487</v>
          </cell>
        </row>
      </sheetData>
      <sheetData sheetId="1"/>
      <sheetData sheetId="2"/>
      <sheetData sheetId="3"/>
      <sheetData sheetId="4"/>
      <sheetData sheetId="5">
        <row r="158">
          <cell r="H158">
            <v>3635.6343877428358</v>
          </cell>
        </row>
        <row r="174">
          <cell r="H174">
            <v>0.31230667443309829</v>
          </cell>
        </row>
      </sheetData>
      <sheetData sheetId="6"/>
      <sheetData sheetId="7"/>
      <sheetData sheetId="8">
        <row r="21">
          <cell r="D21">
            <v>387000</v>
          </cell>
        </row>
      </sheetData>
      <sheetData sheetId="9">
        <row r="21">
          <cell r="D21">
            <v>92430</v>
          </cell>
        </row>
      </sheetData>
      <sheetData sheetId="10">
        <row r="16">
          <cell r="D16">
            <v>430.6557692799999</v>
          </cell>
        </row>
      </sheetData>
      <sheetData sheetId="11">
        <row r="26">
          <cell r="C26">
            <v>2179.4639999999999</v>
          </cell>
        </row>
      </sheetData>
      <sheetData sheetId="12">
        <row r="29">
          <cell r="D29">
            <v>538.68333333333339</v>
          </cell>
        </row>
      </sheetData>
      <sheetData sheetId="13">
        <row r="26">
          <cell r="D26">
            <v>1369.9</v>
          </cell>
        </row>
      </sheetData>
      <sheetData sheetId="14"/>
      <sheetData sheetId="15"/>
      <sheetData sheetId="16">
        <row r="5">
          <cell r="C5">
            <v>3.5539999999999994</v>
          </cell>
        </row>
      </sheetData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741.46661165059857</v>
          </cell>
        </row>
      </sheetData>
      <sheetData sheetId="3">
        <row r="8">
          <cell r="E8">
            <v>587.64869408458253</v>
          </cell>
        </row>
      </sheetData>
      <sheetData sheetId="4"/>
      <sheetData sheetId="5">
        <row r="8">
          <cell r="E8">
            <v>153.81791756601604</v>
          </cell>
        </row>
      </sheetData>
      <sheetData sheetId="6"/>
      <sheetData sheetId="7">
        <row r="27">
          <cell r="H27">
            <v>211125</v>
          </cell>
        </row>
      </sheetData>
      <sheetData sheetId="8">
        <row r="28">
          <cell r="H28">
            <v>119687.5</v>
          </cell>
        </row>
      </sheetData>
      <sheetData sheetId="9">
        <row r="5">
          <cell r="I5">
            <v>438.82517104898903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2.5790000000000002</v>
          </cell>
        </row>
      </sheetData>
      <sheetData sheetId="21"/>
      <sheetData sheetId="22"/>
      <sheetData sheetId="23">
        <row r="8">
          <cell r="D8">
            <v>3.8880000000000003</v>
          </cell>
        </row>
      </sheetData>
      <sheetData sheetId="24"/>
      <sheetData sheetId="25"/>
      <sheetData sheetId="26"/>
    </sheetDataSet>
  </externalBook>
</externalLink>
</file>

<file path=xl/externalLinks/externalLink2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18.076325423572655</v>
          </cell>
        </row>
      </sheetData>
      <sheetData sheetId="1"/>
      <sheetData sheetId="2"/>
      <sheetData sheetId="3"/>
      <sheetData sheetId="4"/>
      <sheetData sheetId="5">
        <row r="158">
          <cell r="H158">
            <v>3600.6243623493888</v>
          </cell>
        </row>
        <row r="174">
          <cell r="H174">
            <v>0.31471143582623318</v>
          </cell>
        </row>
      </sheetData>
      <sheetData sheetId="6"/>
      <sheetData sheetId="7"/>
      <sheetData sheetId="8">
        <row r="21">
          <cell r="D21">
            <v>382574</v>
          </cell>
        </row>
      </sheetData>
      <sheetData sheetId="9">
        <row r="21">
          <cell r="D21">
            <v>92430</v>
          </cell>
        </row>
      </sheetData>
      <sheetData sheetId="10">
        <row r="16">
          <cell r="D16">
            <v>430.6557692799999</v>
          </cell>
        </row>
      </sheetData>
      <sheetData sheetId="11">
        <row r="26">
          <cell r="C26">
            <v>2171.4639999999999</v>
          </cell>
        </row>
      </sheetData>
      <sheetData sheetId="12">
        <row r="29">
          <cell r="D29">
            <v>538.68333333333339</v>
          </cell>
        </row>
      </sheetData>
      <sheetData sheetId="13">
        <row r="26">
          <cell r="D26">
            <v>1369.9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18.515784251195861</v>
          </cell>
        </row>
      </sheetData>
      <sheetData sheetId="1"/>
      <sheetData sheetId="2"/>
      <sheetData sheetId="3"/>
      <sheetData sheetId="4"/>
      <sheetData sheetId="5">
        <row r="158">
          <cell r="H158">
            <v>3566.00984108375</v>
          </cell>
        </row>
        <row r="174">
          <cell r="H174">
            <v>0.31659970444119057</v>
          </cell>
        </row>
      </sheetData>
      <sheetData sheetId="6"/>
      <sheetData sheetId="7"/>
      <sheetData sheetId="8">
        <row r="21">
          <cell r="D21">
            <v>378198</v>
          </cell>
        </row>
      </sheetData>
      <sheetData sheetId="9">
        <row r="21">
          <cell r="D21">
            <v>92430</v>
          </cell>
        </row>
      </sheetData>
      <sheetData sheetId="10">
        <row r="16">
          <cell r="D16">
            <v>430.6557692799999</v>
          </cell>
        </row>
      </sheetData>
      <sheetData sheetId="11">
        <row r="26">
          <cell r="C26">
            <v>2162.8020000000001</v>
          </cell>
        </row>
      </sheetData>
      <sheetData sheetId="12">
        <row r="29">
          <cell r="D29">
            <v>538.68333333333339</v>
          </cell>
        </row>
      </sheetData>
      <sheetData sheetId="13">
        <row r="26">
          <cell r="D26">
            <v>1369.9</v>
          </cell>
        </row>
      </sheetData>
      <sheetData sheetId="14"/>
      <sheetData sheetId="15"/>
      <sheetData sheetId="16">
        <row r="5">
          <cell r="C5">
            <v>3.6539999999999999</v>
          </cell>
        </row>
      </sheetData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18.561196465413406</v>
          </cell>
        </row>
      </sheetData>
      <sheetData sheetId="1"/>
      <sheetData sheetId="2"/>
      <sheetData sheetId="3"/>
      <sheetData sheetId="4"/>
      <sheetData sheetId="5">
        <row r="158">
          <cell r="H158">
            <v>3954.6242869840239</v>
          </cell>
        </row>
        <row r="174">
          <cell r="H174">
            <v>0.31707441292768601</v>
          </cell>
        </row>
      </sheetData>
      <sheetData sheetId="6"/>
      <sheetData sheetId="7"/>
      <sheetData sheetId="8">
        <row r="21">
          <cell r="D21">
            <v>427327</v>
          </cell>
        </row>
      </sheetData>
      <sheetData sheetId="9">
        <row r="21">
          <cell r="D21">
            <v>92430</v>
          </cell>
        </row>
      </sheetData>
      <sheetData sheetId="10">
        <row r="16">
          <cell r="D16">
            <v>430.6557692799999</v>
          </cell>
        </row>
      </sheetData>
      <sheetData sheetId="11">
        <row r="26">
          <cell r="C26">
            <v>2156.7979999999998</v>
          </cell>
        </row>
      </sheetData>
      <sheetData sheetId="12">
        <row r="29">
          <cell r="D29">
            <v>538.68333333333339</v>
          </cell>
        </row>
      </sheetData>
      <sheetData sheetId="13">
        <row r="26">
          <cell r="D26">
            <v>1369.9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18.627480366615853</v>
          </cell>
        </row>
      </sheetData>
      <sheetData sheetId="1"/>
      <sheetData sheetId="2"/>
      <sheetData sheetId="3"/>
      <sheetData sheetId="4"/>
      <sheetData sheetId="5">
        <row r="158">
          <cell r="H158">
            <v>4007.8828728344702</v>
          </cell>
        </row>
        <row r="174">
          <cell r="H174">
            <v>0.317105862364917</v>
          </cell>
        </row>
      </sheetData>
      <sheetData sheetId="6"/>
      <sheetData sheetId="7"/>
      <sheetData sheetId="8">
        <row r="21">
          <cell r="D21">
            <v>434060</v>
          </cell>
        </row>
      </sheetData>
      <sheetData sheetId="9">
        <row r="21">
          <cell r="D21">
            <v>92430</v>
          </cell>
        </row>
      </sheetData>
      <sheetData sheetId="10">
        <row r="16">
          <cell r="D16">
            <v>451.00080913232568</v>
          </cell>
        </row>
      </sheetData>
      <sheetData sheetId="11">
        <row r="26">
          <cell r="C26">
            <v>2156.7979999999998</v>
          </cell>
        </row>
      </sheetData>
      <sheetData sheetId="12">
        <row r="29">
          <cell r="D29">
            <v>538.68333333333339</v>
          </cell>
        </row>
      </sheetData>
      <sheetData sheetId="13">
        <row r="26">
          <cell r="D26">
            <v>1369.9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18.69167494139732</v>
          </cell>
        </row>
      </sheetData>
      <sheetData sheetId="1"/>
      <sheetData sheetId="2"/>
      <sheetData sheetId="3"/>
      <sheetData sheetId="4"/>
      <sheetData sheetId="5">
        <row r="158">
          <cell r="H158">
            <v>4043.2093015301616</v>
          </cell>
        </row>
        <row r="174">
          <cell r="H174">
            <v>0.31742273027965223</v>
          </cell>
        </row>
      </sheetData>
      <sheetData sheetId="6"/>
      <sheetData sheetId="7"/>
      <sheetData sheetId="8">
        <row r="21">
          <cell r="D21">
            <v>438526</v>
          </cell>
        </row>
      </sheetData>
      <sheetData sheetId="9">
        <row r="21">
          <cell r="D21">
            <v>92430</v>
          </cell>
        </row>
      </sheetData>
      <sheetData sheetId="10">
        <row r="16">
          <cell r="D16">
            <v>451.00080913232568</v>
          </cell>
        </row>
      </sheetData>
      <sheetData sheetId="11">
        <row r="26">
          <cell r="C26">
            <v>2112.8139999999999</v>
          </cell>
        </row>
      </sheetData>
      <sheetData sheetId="12">
        <row r="29">
          <cell r="D29">
            <v>538.68333333333339</v>
          </cell>
        </row>
      </sheetData>
      <sheetData sheetId="13">
        <row r="26">
          <cell r="D26">
            <v>1369.9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18.76719815443283</v>
          </cell>
        </row>
      </sheetData>
      <sheetData sheetId="1"/>
      <sheetData sheetId="2"/>
      <sheetData sheetId="3"/>
      <sheetData sheetId="4"/>
      <sheetData sheetId="5">
        <row r="158">
          <cell r="H158">
            <v>4048.4853265951024</v>
          </cell>
        </row>
        <row r="174">
          <cell r="H174">
            <v>0.31780368384006591</v>
          </cell>
        </row>
      </sheetData>
      <sheetData sheetId="6"/>
      <sheetData sheetId="7"/>
      <sheetData sheetId="8">
        <row r="21">
          <cell r="D21">
            <v>439193</v>
          </cell>
        </row>
      </sheetData>
      <sheetData sheetId="9">
        <row r="21">
          <cell r="D21">
            <v>92430</v>
          </cell>
        </row>
      </sheetData>
      <sheetData sheetId="10">
        <row r="16">
          <cell r="D16">
            <v>451.00080913232568</v>
          </cell>
        </row>
      </sheetData>
      <sheetData sheetId="11">
        <row r="26">
          <cell r="C26">
            <v>2151.5680000000002</v>
          </cell>
        </row>
      </sheetData>
      <sheetData sheetId="12">
        <row r="29">
          <cell r="D29">
            <v>538.68333333333339</v>
          </cell>
        </row>
      </sheetData>
      <sheetData sheetId="13">
        <row r="26">
          <cell r="D26">
            <v>1369.9</v>
          </cell>
        </row>
      </sheetData>
      <sheetData sheetId="14"/>
      <sheetData sheetId="15"/>
      <sheetData sheetId="16">
        <row r="5">
          <cell r="C5">
            <v>3.6700000000000008</v>
          </cell>
        </row>
      </sheetData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18.824020646508163</v>
          </cell>
        </row>
      </sheetData>
      <sheetData sheetId="1"/>
      <sheetData sheetId="2"/>
      <sheetData sheetId="3"/>
      <sheetData sheetId="4"/>
      <sheetData sheetId="5">
        <row r="158">
          <cell r="H158">
            <v>4081.5099212669593</v>
          </cell>
        </row>
        <row r="174">
          <cell r="H174">
            <v>0.31764465649708978</v>
          </cell>
        </row>
      </sheetData>
      <sheetData sheetId="6"/>
      <sheetData sheetId="7"/>
      <sheetData sheetId="8">
        <row r="21">
          <cell r="D21">
            <v>443368</v>
          </cell>
        </row>
      </sheetData>
      <sheetData sheetId="9">
        <row r="21">
          <cell r="D21">
            <v>92430</v>
          </cell>
        </row>
      </sheetData>
      <sheetData sheetId="10">
        <row r="16">
          <cell r="D16">
            <v>451.00080913232568</v>
          </cell>
        </row>
      </sheetData>
      <sheetData sheetId="11">
        <row r="26">
          <cell r="C26">
            <v>2187.09</v>
          </cell>
        </row>
      </sheetData>
      <sheetData sheetId="12">
        <row r="29">
          <cell r="D29">
            <v>538.68333333333339</v>
          </cell>
        </row>
      </sheetData>
      <sheetData sheetId="13">
        <row r="26">
          <cell r="D26">
            <v>1369.9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18.902655471858445</v>
          </cell>
        </row>
      </sheetData>
      <sheetData sheetId="1"/>
      <sheetData sheetId="2"/>
      <sheetData sheetId="3"/>
      <sheetData sheetId="4"/>
      <sheetData sheetId="5">
        <row r="158">
          <cell r="H158">
            <v>4157.6365557871868</v>
          </cell>
        </row>
        <row r="174">
          <cell r="H174">
            <v>0.31777164101722727</v>
          </cell>
        </row>
      </sheetData>
      <sheetData sheetId="6"/>
      <sheetData sheetId="7"/>
      <sheetData sheetId="8">
        <row r="21">
          <cell r="D21">
            <v>452992</v>
          </cell>
        </row>
      </sheetData>
      <sheetData sheetId="9">
        <row r="21">
          <cell r="D21">
            <v>92430</v>
          </cell>
        </row>
      </sheetData>
      <sheetData sheetId="10">
        <row r="16">
          <cell r="D16">
            <v>451.00080913232568</v>
          </cell>
        </row>
      </sheetData>
      <sheetData sheetId="11">
        <row r="26">
          <cell r="C26">
            <v>2158.1060000000002</v>
          </cell>
        </row>
      </sheetData>
      <sheetData sheetId="12">
        <row r="29">
          <cell r="D29">
            <v>538.68333333333339</v>
          </cell>
        </row>
      </sheetData>
      <sheetData sheetId="13">
        <row r="26">
          <cell r="D26">
            <v>1369.9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19.01920594857825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31">
          <cell r="G131">
            <v>887.35168902335818</v>
          </cell>
        </row>
        <row r="158">
          <cell r="H158">
            <v>4237.5283896041328</v>
          </cell>
        </row>
        <row r="174">
          <cell r="H174">
            <v>0.31948771219591116</v>
          </cell>
        </row>
      </sheetData>
      <sheetData sheetId="6" refreshError="1"/>
      <sheetData sheetId="7" refreshError="1"/>
      <sheetData sheetId="8">
        <row r="21">
          <cell r="D21">
            <v>463092</v>
          </cell>
        </row>
      </sheetData>
      <sheetData sheetId="9">
        <row r="21">
          <cell r="D21">
            <v>92430</v>
          </cell>
        </row>
      </sheetData>
      <sheetData sheetId="10">
        <row r="16">
          <cell r="D16">
            <v>451.00080913232568</v>
          </cell>
        </row>
      </sheetData>
      <sheetData sheetId="11">
        <row r="26">
          <cell r="C26">
            <v>2158.1060000000002</v>
          </cell>
        </row>
      </sheetData>
      <sheetData sheetId="12">
        <row r="29">
          <cell r="D29">
            <v>538.68333333333339</v>
          </cell>
        </row>
      </sheetData>
      <sheetData sheetId="13">
        <row r="26">
          <cell r="D26">
            <v>1369.9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19.208689119541908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58">
          <cell r="H158">
            <v>4227.8464485554259</v>
          </cell>
        </row>
        <row r="174">
          <cell r="H174">
            <v>0.32338566225565135</v>
          </cell>
        </row>
      </sheetData>
      <sheetData sheetId="6" refreshError="1"/>
      <sheetData sheetId="7" refreshError="1"/>
      <sheetData sheetId="8">
        <row r="21">
          <cell r="D21">
            <v>461868</v>
          </cell>
        </row>
      </sheetData>
      <sheetData sheetId="9">
        <row r="21">
          <cell r="D21">
            <v>92430</v>
          </cell>
        </row>
      </sheetData>
      <sheetData sheetId="10">
        <row r="16">
          <cell r="D16">
            <v>451.00080913232568</v>
          </cell>
        </row>
      </sheetData>
      <sheetData sheetId="11">
        <row r="26">
          <cell r="C26">
            <v>2169.8740000000003</v>
          </cell>
        </row>
      </sheetData>
      <sheetData sheetId="12">
        <row r="29">
          <cell r="D29">
            <v>538.68333333333339</v>
          </cell>
        </row>
      </sheetData>
      <sheetData sheetId="13">
        <row r="26">
          <cell r="D26">
            <v>1369.9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743.18411379548127</v>
          </cell>
        </row>
      </sheetData>
      <sheetData sheetId="3">
        <row r="8">
          <cell r="E8">
            <v>588.33217050533392</v>
          </cell>
        </row>
      </sheetData>
      <sheetData sheetId="4"/>
      <sheetData sheetId="5">
        <row r="8">
          <cell r="E8">
            <v>154.85194329014732</v>
          </cell>
        </row>
      </sheetData>
      <sheetData sheetId="6"/>
      <sheetData sheetId="7">
        <row r="27">
          <cell r="H27">
            <v>210202.5</v>
          </cell>
        </row>
      </sheetData>
      <sheetData sheetId="8">
        <row r="28">
          <cell r="H28">
            <v>122235.07666666666</v>
          </cell>
        </row>
      </sheetData>
      <sheetData sheetId="9">
        <row r="5">
          <cell r="I5">
            <v>438.82903140408024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2.59</v>
          </cell>
        </row>
      </sheetData>
      <sheetData sheetId="21"/>
      <sheetData sheetId="22"/>
      <sheetData sheetId="23">
        <row r="8">
          <cell r="D8">
            <v>4.0589999999999993</v>
          </cell>
        </row>
      </sheetData>
      <sheetData sheetId="24"/>
      <sheetData sheetId="25"/>
      <sheetData sheetId="26"/>
    </sheetDataSet>
  </externalBook>
</externalLink>
</file>

<file path=xl/externalLinks/externalLink2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19.291965186440319</v>
          </cell>
        </row>
      </sheetData>
      <sheetData sheetId="1"/>
      <sheetData sheetId="2"/>
      <sheetData sheetId="3">
        <row r="10">
          <cell r="E10">
            <v>86.217039388659245</v>
          </cell>
        </row>
      </sheetData>
      <sheetData sheetId="4"/>
      <sheetData sheetId="5">
        <row r="158">
          <cell r="H158">
            <v>4289.108858163866</v>
          </cell>
        </row>
        <row r="174">
          <cell r="H174">
            <v>0.32400009501393712</v>
          </cell>
        </row>
      </sheetData>
      <sheetData sheetId="6">
        <row r="7">
          <cell r="I7">
            <v>3683333.5159892249</v>
          </cell>
        </row>
      </sheetData>
      <sheetData sheetId="7"/>
      <sheetData sheetId="8">
        <row r="21">
          <cell r="D21">
            <v>469556</v>
          </cell>
        </row>
      </sheetData>
      <sheetData sheetId="9">
        <row r="21">
          <cell r="D21">
            <v>92430</v>
          </cell>
        </row>
      </sheetData>
      <sheetData sheetId="10">
        <row r="16">
          <cell r="D16">
            <v>451.00080913232568</v>
          </cell>
        </row>
      </sheetData>
      <sheetData sheetId="11">
        <row r="26">
          <cell r="C26">
            <v>2134.174</v>
          </cell>
        </row>
      </sheetData>
      <sheetData sheetId="12">
        <row r="29">
          <cell r="D29">
            <v>569.49601999999993</v>
          </cell>
        </row>
      </sheetData>
      <sheetData sheetId="13">
        <row r="26">
          <cell r="D26">
            <v>1426.7508500000004</v>
          </cell>
        </row>
      </sheetData>
      <sheetData sheetId="14"/>
      <sheetData sheetId="15">
        <row r="5">
          <cell r="C5">
            <v>3.677</v>
          </cell>
        </row>
      </sheetData>
      <sheetData sheetId="16"/>
      <sheetData sheetId="17"/>
      <sheetData sheetId="18"/>
      <sheetData sheetId="19"/>
      <sheetData sheetId="20"/>
      <sheetData sheetId="21">
        <row r="7">
          <cell r="C7">
            <v>67.015006937484131</v>
          </cell>
        </row>
      </sheetData>
      <sheetData sheetId="22"/>
    </sheetDataSet>
  </externalBook>
</externalLink>
</file>

<file path=xl/externalLinks/externalLink2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19.343411331794755</v>
          </cell>
        </row>
      </sheetData>
      <sheetData sheetId="1"/>
      <sheetData sheetId="2"/>
      <sheetData sheetId="3"/>
      <sheetData sheetId="4"/>
      <sheetData sheetId="5">
        <row r="158">
          <cell r="H158">
            <v>4218.0684067272314</v>
          </cell>
        </row>
        <row r="174">
          <cell r="H174">
            <v>0.32455075733186567</v>
          </cell>
        </row>
      </sheetData>
      <sheetData sheetId="6"/>
      <sheetData sheetId="7"/>
      <sheetData sheetId="8">
        <row r="21">
          <cell r="D21">
            <v>460575</v>
          </cell>
        </row>
      </sheetData>
      <sheetData sheetId="9">
        <row r="21">
          <cell r="D21">
            <v>92430</v>
          </cell>
        </row>
      </sheetData>
      <sheetData sheetId="10">
        <row r="16">
          <cell r="D16">
            <v>451.00080913232568</v>
          </cell>
        </row>
      </sheetData>
      <sheetData sheetId="11">
        <row r="26">
          <cell r="C26">
            <v>2127.5819999999999</v>
          </cell>
        </row>
      </sheetData>
      <sheetData sheetId="12">
        <row r="29">
          <cell r="D29">
            <v>569.49601999999993</v>
          </cell>
        </row>
      </sheetData>
      <sheetData sheetId="13">
        <row r="26">
          <cell r="D26">
            <v>1426.7508500000004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19.425338415494327</v>
          </cell>
        </row>
      </sheetData>
      <sheetData sheetId="1"/>
      <sheetData sheetId="2"/>
      <sheetData sheetId="3">
        <row r="10">
          <cell r="E10">
            <v>86.07785495611752</v>
          </cell>
        </row>
      </sheetData>
      <sheetData sheetId="4"/>
      <sheetData sheetId="5">
        <row r="158">
          <cell r="H158">
            <v>4213.5359294225682</v>
          </cell>
        </row>
        <row r="174">
          <cell r="H174">
            <v>0.32513524265854726</v>
          </cell>
        </row>
      </sheetData>
      <sheetData sheetId="6">
        <row r="18">
          <cell r="I18">
            <v>194737.9673022333</v>
          </cell>
        </row>
      </sheetData>
      <sheetData sheetId="7"/>
      <sheetData sheetId="8">
        <row r="21">
          <cell r="D21">
            <v>460002</v>
          </cell>
        </row>
      </sheetData>
      <sheetData sheetId="9">
        <row r="21">
          <cell r="D21">
            <v>92430</v>
          </cell>
        </row>
      </sheetData>
      <sheetData sheetId="10">
        <row r="16">
          <cell r="D16">
            <v>451.00080913232568</v>
          </cell>
        </row>
      </sheetData>
      <sheetData sheetId="11">
        <row r="26">
          <cell r="C26">
            <v>2140.8599999999997</v>
          </cell>
        </row>
      </sheetData>
      <sheetData sheetId="12">
        <row r="29">
          <cell r="D29">
            <v>569.49601999999993</v>
          </cell>
        </row>
      </sheetData>
      <sheetData sheetId="13">
        <row r="26">
          <cell r="D26">
            <v>1426.7508500000004</v>
          </cell>
        </row>
      </sheetData>
      <sheetData sheetId="14"/>
      <sheetData sheetId="15">
        <row r="5">
          <cell r="C5">
            <v>3.2029999999999998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19.482975937977621</v>
          </cell>
        </row>
      </sheetData>
      <sheetData sheetId="1"/>
      <sheetData sheetId="2"/>
      <sheetData sheetId="3"/>
      <sheetData sheetId="4"/>
      <sheetData sheetId="5">
        <row r="158">
          <cell r="H158">
            <v>4221.9978724903149</v>
          </cell>
        </row>
        <row r="174">
          <cell r="H174">
            <v>0.32438757614929092</v>
          </cell>
        </row>
      </sheetData>
      <sheetData sheetId="6"/>
      <sheetData sheetId="7"/>
      <sheetData sheetId="8">
        <row r="21">
          <cell r="D21">
            <v>460181</v>
          </cell>
        </row>
      </sheetData>
      <sheetData sheetId="9">
        <row r="21">
          <cell r="D21">
            <v>93596.666666666672</v>
          </cell>
        </row>
      </sheetData>
      <sheetData sheetId="10">
        <row r="16">
          <cell r="D16">
            <v>451.00080913232568</v>
          </cell>
        </row>
      </sheetData>
      <sheetData sheetId="11">
        <row r="26">
          <cell r="C26">
            <v>2177.482</v>
          </cell>
        </row>
      </sheetData>
      <sheetData sheetId="12">
        <row r="29">
          <cell r="D29">
            <v>569.49601999999993</v>
          </cell>
        </row>
      </sheetData>
      <sheetData sheetId="13">
        <row r="26">
          <cell r="D26">
            <v>1426.7508500000004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19.550292377811992</v>
          </cell>
        </row>
      </sheetData>
      <sheetData sheetId="1"/>
      <sheetData sheetId="2"/>
      <sheetData sheetId="3"/>
      <sheetData sheetId="4"/>
      <sheetData sheetId="5">
        <row r="158">
          <cell r="H158">
            <v>4227.3688185459296</v>
          </cell>
        </row>
        <row r="174">
          <cell r="H174">
            <v>0.32357641732535974</v>
          </cell>
        </row>
      </sheetData>
      <sheetData sheetId="6"/>
      <sheetData sheetId="7"/>
      <sheetData sheetId="8">
        <row r="21">
          <cell r="D21">
            <v>460860</v>
          </cell>
        </row>
      </sheetData>
      <sheetData sheetId="9">
        <row r="21">
          <cell r="D21">
            <v>93596.666666666672</v>
          </cell>
        </row>
      </sheetData>
      <sheetData sheetId="10">
        <row r="16">
          <cell r="D16">
            <v>451.00080913232568</v>
          </cell>
        </row>
      </sheetData>
      <sheetData sheetId="11">
        <row r="26">
          <cell r="C26">
            <v>2237.2359999999999</v>
          </cell>
        </row>
      </sheetData>
      <sheetData sheetId="12">
        <row r="29">
          <cell r="D29">
            <v>569.49601999999993</v>
          </cell>
        </row>
      </sheetData>
      <sheetData sheetId="13">
        <row r="26">
          <cell r="D26">
            <v>1426.7508500000004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19.667914455821442</v>
          </cell>
        </row>
      </sheetData>
      <sheetData sheetId="1"/>
      <sheetData sheetId="2"/>
      <sheetData sheetId="3"/>
      <sheetData sheetId="4"/>
      <sheetData sheetId="5">
        <row r="158">
          <cell r="H158">
            <v>4248.7576817777144</v>
          </cell>
        </row>
        <row r="174">
          <cell r="H174">
            <v>0.32454719701515611</v>
          </cell>
        </row>
      </sheetData>
      <sheetData sheetId="6"/>
      <sheetData sheetId="7"/>
      <sheetData sheetId="8">
        <row r="21">
          <cell r="D21">
            <v>463564</v>
          </cell>
        </row>
      </sheetData>
      <sheetData sheetId="9">
        <row r="21">
          <cell r="D21">
            <v>93596.666666666672</v>
          </cell>
        </row>
      </sheetData>
      <sheetData sheetId="10">
        <row r="16">
          <cell r="D16">
            <v>451.00080913232568</v>
          </cell>
        </row>
      </sheetData>
      <sheetData sheetId="11">
        <row r="26">
          <cell r="C26">
            <v>2318.6420000000003</v>
          </cell>
        </row>
      </sheetData>
      <sheetData sheetId="12">
        <row r="29">
          <cell r="D29">
            <v>569.49601999999993</v>
          </cell>
        </row>
      </sheetData>
      <sheetData sheetId="13">
        <row r="26">
          <cell r="D26">
            <v>1426.7508500000004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19.788552931951628</v>
          </cell>
        </row>
      </sheetData>
      <sheetData sheetId="1"/>
      <sheetData sheetId="2"/>
      <sheetData sheetId="3">
        <row r="10">
          <cell r="E10">
            <v>89.017189345908747</v>
          </cell>
        </row>
      </sheetData>
      <sheetData sheetId="4"/>
      <sheetData sheetId="5">
        <row r="158">
          <cell r="H158">
            <v>4340.7994024008822</v>
          </cell>
        </row>
        <row r="174">
          <cell r="H174">
            <v>0.32597547740228439</v>
          </cell>
        </row>
      </sheetData>
      <sheetData sheetId="6">
        <row r="18">
          <cell r="I18">
            <v>224469.66753653562</v>
          </cell>
        </row>
      </sheetData>
      <sheetData sheetId="7"/>
      <sheetData sheetId="8">
        <row r="21">
          <cell r="D21">
            <v>475200</v>
          </cell>
        </row>
      </sheetData>
      <sheetData sheetId="9">
        <row r="21">
          <cell r="D21">
            <v>93596.666666666672</v>
          </cell>
        </row>
      </sheetData>
      <sheetData sheetId="10">
        <row r="16">
          <cell r="D16">
            <v>451.00080913232568</v>
          </cell>
        </row>
      </sheetData>
      <sheetData sheetId="11">
        <row r="26">
          <cell r="C26">
            <v>2291.79</v>
          </cell>
        </row>
      </sheetData>
      <sheetData sheetId="12">
        <row r="29">
          <cell r="D29">
            <v>569.49601999999993</v>
          </cell>
        </row>
      </sheetData>
      <sheetData sheetId="13">
        <row r="26">
          <cell r="D26">
            <v>1426.7508500000004</v>
          </cell>
        </row>
      </sheetData>
      <sheetData sheetId="14"/>
      <sheetData sheetId="15">
        <row r="5">
          <cell r="C5">
            <v>3.3739999999999997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IGPM"/>
      <sheetName val="IGPDI"/>
      <sheetName val="IPCAIBGE"/>
      <sheetName val="IPCAE"/>
      <sheetName val="INPCIBGE"/>
      <sheetName val="ICVDIEESE"/>
      <sheetName val="IPCFIPE"/>
      <sheetName val="IPA-DI FGV"/>
      <sheetName val="IPC|BR - DI.FGV"/>
      <sheetName val="IPA-IGPM"/>
      <sheetName val="INCC-SINDUSCON"/>
      <sheetName val="Poupanca"/>
      <sheetName val="Txbas"/>
      <sheetName val="TR"/>
      <sheetName val="SELIC"/>
      <sheetName val="Selicacum"/>
      <sheetName val="TJLP"/>
      <sheetName val="Dolar"/>
      <sheetName val="Salário Mínimo"/>
      <sheetName val="Coluna14"/>
      <sheetName val="Coluna15"/>
      <sheetName val="coluna32"/>
      <sheetName val="Coluna54"/>
      <sheetName val="DES-multas"/>
    </sheetNames>
    <sheetDataSet>
      <sheetData sheetId="0"/>
      <sheetData sheetId="1"/>
      <sheetData sheetId="2"/>
      <sheetData sheetId="3"/>
      <sheetData sheetId="4"/>
      <sheetData sheetId="5">
        <row r="287">
          <cell r="F287">
            <v>3.9871800478560981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3.4430000000000005</v>
          </cell>
        </row>
      </sheetData>
      <sheetData sheetId="21"/>
      <sheetData sheetId="22"/>
      <sheetData sheetId="23">
        <row r="8">
          <cell r="D8">
            <v>1.823666666666667</v>
          </cell>
        </row>
      </sheetData>
      <sheetData sheetId="24"/>
      <sheetData sheetId="25"/>
      <sheetData sheetId="26"/>
    </sheetDataSet>
  </externalBook>
</externalLink>
</file>

<file path=xl/externalLinks/externalLink2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>
        <row r="13">
          <cell r="C13">
            <v>19.962535646725495</v>
          </cell>
        </row>
      </sheetData>
      <sheetData sheetId="1"/>
      <sheetData sheetId="2"/>
      <sheetData sheetId="3"/>
      <sheetData sheetId="4"/>
      <sheetData sheetId="5">
        <row r="158">
          <cell r="H158">
            <v>4417.8910669929564</v>
          </cell>
        </row>
        <row r="174">
          <cell r="H174">
            <v>0.32714919514459273</v>
          </cell>
        </row>
      </sheetData>
      <sheetData sheetId="6"/>
      <sheetData sheetId="7"/>
      <sheetData sheetId="8">
        <row r="21">
          <cell r="D21">
            <v>484946</v>
          </cell>
        </row>
      </sheetData>
      <sheetData sheetId="9">
        <row r="21">
          <cell r="D21">
            <v>93596.666666666672</v>
          </cell>
        </row>
      </sheetData>
      <sheetData sheetId="10">
        <row r="16">
          <cell r="D16">
            <v>451.00080913232568</v>
          </cell>
        </row>
      </sheetData>
      <sheetData sheetId="11">
        <row r="26">
          <cell r="C26">
            <v>2333.3540000000003</v>
          </cell>
        </row>
      </sheetData>
      <sheetData sheetId="12"/>
      <sheetData sheetId="13">
        <row r="26">
          <cell r="D26">
            <v>1426.7508500000004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721.94427403632312</v>
          </cell>
        </row>
      </sheetData>
      <sheetData sheetId="3">
        <row r="8">
          <cell r="E8">
            <v>570.38510976098473</v>
          </cell>
        </row>
      </sheetData>
      <sheetData sheetId="4"/>
      <sheetData sheetId="5">
        <row r="8">
          <cell r="E8">
            <v>151.55916427533842</v>
          </cell>
        </row>
      </sheetData>
      <sheetData sheetId="6"/>
      <sheetData sheetId="7">
        <row r="27">
          <cell r="H27">
            <v>210202.5</v>
          </cell>
        </row>
      </sheetData>
      <sheetData sheetId="8">
        <row r="28">
          <cell r="H28">
            <v>123200</v>
          </cell>
        </row>
      </sheetData>
      <sheetData sheetId="9">
        <row r="5">
          <cell r="I5">
            <v>416.11304866851987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2.593</v>
          </cell>
        </row>
      </sheetData>
      <sheetData sheetId="21"/>
      <sheetData sheetId="22"/>
      <sheetData sheetId="23">
        <row r="8">
          <cell r="D8">
            <v>4.0589999999999993</v>
          </cell>
        </row>
      </sheetData>
      <sheetData sheetId="24"/>
      <sheetData sheetId="25"/>
      <sheetData sheetId="2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724.25693716510568</v>
          </cell>
        </row>
      </sheetData>
      <sheetData sheetId="3">
        <row r="8">
          <cell r="E8">
            <v>571.50393801503719</v>
          </cell>
        </row>
      </sheetData>
      <sheetData sheetId="4"/>
      <sheetData sheetId="5">
        <row r="8">
          <cell r="E8">
            <v>152.75299915006852</v>
          </cell>
        </row>
      </sheetData>
      <sheetData sheetId="6"/>
      <sheetData sheetId="7">
        <row r="27">
          <cell r="H27">
            <v>210202.5</v>
          </cell>
        </row>
      </sheetData>
      <sheetData sheetId="8">
        <row r="28">
          <cell r="H28">
            <v>125536</v>
          </cell>
        </row>
      </sheetData>
      <sheetData sheetId="9">
        <row r="5">
          <cell r="I5">
            <v>416.16566613476874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2.6</v>
          </cell>
        </row>
      </sheetData>
      <sheetData sheetId="21"/>
      <sheetData sheetId="22"/>
      <sheetData sheetId="23">
        <row r="8">
          <cell r="D8">
            <v>3.3914285714285719</v>
          </cell>
        </row>
      </sheetData>
      <sheetData sheetId="24"/>
      <sheetData sheetId="25"/>
      <sheetData sheetId="26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727.45183071579208</v>
          </cell>
        </row>
      </sheetData>
      <sheetData sheetId="3">
        <row r="8">
          <cell r="E8">
            <v>572.93608123309298</v>
          </cell>
        </row>
      </sheetData>
      <sheetData sheetId="4"/>
      <sheetData sheetId="5">
        <row r="8">
          <cell r="E8">
            <v>154.51574948269916</v>
          </cell>
        </row>
      </sheetData>
      <sheetData sheetId="6"/>
      <sheetData sheetId="7">
        <row r="27">
          <cell r="H27">
            <v>206433</v>
          </cell>
        </row>
      </sheetData>
      <sheetData sheetId="8">
        <row r="28">
          <cell r="H28">
            <v>126682</v>
          </cell>
        </row>
      </sheetData>
      <sheetData sheetId="9">
        <row r="5">
          <cell r="I5">
            <v>416.23458382390339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2.6059999999999994</v>
          </cell>
        </row>
      </sheetData>
      <sheetData sheetId="21"/>
      <sheetData sheetId="22"/>
      <sheetData sheetId="23">
        <row r="8">
          <cell r="D8">
            <v>3.3914285714285719</v>
          </cell>
        </row>
      </sheetData>
      <sheetData sheetId="24"/>
      <sheetData sheetId="25"/>
      <sheetData sheetId="2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751.47287421864598</v>
          </cell>
        </row>
      </sheetData>
      <sheetData sheetId="3">
        <row r="8">
          <cell r="E8">
            <v>593.51657457377087</v>
          </cell>
        </row>
      </sheetData>
      <sheetData sheetId="4"/>
      <sheetData sheetId="5">
        <row r="8">
          <cell r="E8">
            <v>157.95629964487506</v>
          </cell>
        </row>
      </sheetData>
      <sheetData sheetId="6"/>
      <sheetData sheetId="7">
        <row r="27">
          <cell r="H27">
            <v>203960</v>
          </cell>
        </row>
      </sheetData>
      <sheetData sheetId="8">
        <row r="28">
          <cell r="H28">
            <v>125250</v>
          </cell>
        </row>
      </sheetData>
      <sheetData sheetId="9">
        <row r="5">
          <cell r="I5">
            <v>436.77297688535879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2.6080000000000001</v>
          </cell>
        </row>
      </sheetData>
      <sheetData sheetId="21"/>
      <sheetData sheetId="22"/>
      <sheetData sheetId="23">
        <row r="8">
          <cell r="D8">
            <v>3.3200000000000003</v>
          </cell>
        </row>
      </sheetData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PESOSa"/>
      <sheetName val="PESOSr"/>
      <sheetName val="PESOSdat"/>
      <sheetName val="PESOSou"/>
      <sheetName val="DAT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643.36300294883176</v>
          </cell>
        </row>
      </sheetData>
      <sheetData sheetId="3">
        <row r="8">
          <cell r="E8">
            <v>510.77768714764647</v>
          </cell>
        </row>
      </sheetData>
      <sheetData sheetId="4"/>
      <sheetData sheetId="5">
        <row r="8">
          <cell r="E8">
            <v>132.58531580118523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2.0892000000000004</v>
          </cell>
        </row>
      </sheetData>
      <sheetData sheetId="21"/>
      <sheetData sheetId="22"/>
      <sheetData sheetId="23">
        <row r="9">
          <cell r="D9">
            <v>4.0679999999999996</v>
          </cell>
        </row>
      </sheetData>
      <sheetData sheetId="24"/>
      <sheetData sheetId="25"/>
      <sheetData sheetId="2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749.2368452009938</v>
          </cell>
        </row>
      </sheetData>
      <sheetData sheetId="3">
        <row r="8">
          <cell r="E8">
            <v>592.4623683024306</v>
          </cell>
        </row>
      </sheetData>
      <sheetData sheetId="4"/>
      <sheetData sheetId="5">
        <row r="8">
          <cell r="E8">
            <v>156.77447689856322</v>
          </cell>
        </row>
      </sheetData>
      <sheetData sheetId="6"/>
      <sheetData sheetId="7">
        <row r="27">
          <cell r="H27">
            <v>203200</v>
          </cell>
        </row>
      </sheetData>
      <sheetData sheetId="8">
        <row r="28">
          <cell r="H28">
            <v>124029</v>
          </cell>
        </row>
      </sheetData>
      <sheetData sheetId="9">
        <row r="5">
          <cell r="I5">
            <v>437.24648137301307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2.61</v>
          </cell>
        </row>
      </sheetData>
      <sheetData sheetId="21"/>
      <sheetData sheetId="22"/>
      <sheetData sheetId="23">
        <row r="8">
          <cell r="D8">
            <v>3.3914285714285719</v>
          </cell>
        </row>
      </sheetData>
      <sheetData sheetId="24"/>
      <sheetData sheetId="25"/>
      <sheetData sheetId="2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  <sheetName val="RESUMOr_FARMA"/>
      <sheetName val="Generalidades_FARMA"/>
      <sheetName val="Fracionada_FARMA"/>
    </sheetNames>
    <sheetDataSet>
      <sheetData sheetId="0"/>
      <sheetData sheetId="1"/>
      <sheetData sheetId="2">
        <row r="20">
          <cell r="D20">
            <v>746.60810326011074</v>
          </cell>
        </row>
      </sheetData>
      <sheetData sheetId="3">
        <row r="8">
          <cell r="E8">
            <v>590.80914958491769</v>
          </cell>
        </row>
      </sheetData>
      <sheetData sheetId="4"/>
      <sheetData sheetId="5">
        <row r="8">
          <cell r="E8">
            <v>155.7989536751931</v>
          </cell>
        </row>
      </sheetData>
      <sheetData sheetId="6"/>
      <sheetData sheetId="7">
        <row r="27">
          <cell r="H27">
            <v>202025</v>
          </cell>
        </row>
      </sheetData>
      <sheetData sheetId="8">
        <row r="29">
          <cell r="H29">
            <v>12434.875</v>
          </cell>
        </row>
      </sheetData>
      <sheetData sheetId="9">
        <row r="5">
          <cell r="I5">
            <v>437.28414668099015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2.61</v>
          </cell>
        </row>
      </sheetData>
      <sheetData sheetId="21"/>
      <sheetData sheetId="22"/>
      <sheetData sheetId="23">
        <row r="8">
          <cell r="D8">
            <v>3.3914285714285719</v>
          </cell>
        </row>
      </sheetData>
      <sheetData sheetId="24"/>
      <sheetData sheetId="25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  <sheetName val="RESUMOr_FARMA"/>
      <sheetName val="Generalidades_FARMA"/>
      <sheetName val="Fracionada_FARMA"/>
    </sheetNames>
    <sheetDataSet>
      <sheetData sheetId="0"/>
      <sheetData sheetId="1"/>
      <sheetData sheetId="2">
        <row r="20">
          <cell r="D20">
            <v>751.29269154650797</v>
          </cell>
        </row>
      </sheetData>
      <sheetData sheetId="3">
        <row r="8">
          <cell r="E8">
            <v>596.20665374614498</v>
          </cell>
        </row>
      </sheetData>
      <sheetData sheetId="4"/>
      <sheetData sheetId="5">
        <row r="8">
          <cell r="E8">
            <v>155.08603780036299</v>
          </cell>
        </row>
      </sheetData>
      <sheetData sheetId="6"/>
      <sheetData sheetId="7">
        <row r="27">
          <cell r="H27">
            <v>200183</v>
          </cell>
        </row>
      </sheetData>
      <sheetData sheetId="8">
        <row r="28">
          <cell r="H28">
            <v>125200</v>
          </cell>
        </row>
      </sheetData>
      <sheetData sheetId="9">
        <row r="5">
          <cell r="I5">
            <v>445.00079987595001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2.6380000000000003</v>
          </cell>
        </row>
      </sheetData>
      <sheetData sheetId="21"/>
      <sheetData sheetId="22"/>
      <sheetData sheetId="23">
        <row r="8">
          <cell r="D8">
            <v>2.94</v>
          </cell>
        </row>
      </sheetData>
      <sheetData sheetId="24"/>
      <sheetData sheetId="25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  <sheetName val="RESUMOr_FARMA"/>
      <sheetName val="Generalidades_FARMA"/>
      <sheetName val="Fracionada_FARMA"/>
    </sheetNames>
    <sheetDataSet>
      <sheetData sheetId="0"/>
      <sheetData sheetId="1"/>
      <sheetData sheetId="2">
        <row r="20">
          <cell r="D20">
            <v>751.74144950227003</v>
          </cell>
        </row>
      </sheetData>
      <sheetData sheetId="3">
        <row r="8">
          <cell r="E8">
            <v>596.68323339373853</v>
          </cell>
        </row>
      </sheetData>
      <sheetData sheetId="4"/>
      <sheetData sheetId="5">
        <row r="8">
          <cell r="E8">
            <v>155.0582161085315</v>
          </cell>
        </row>
      </sheetData>
      <sheetData sheetId="6"/>
      <sheetData sheetId="7">
        <row r="27">
          <cell r="H27">
            <v>201845</v>
          </cell>
        </row>
      </sheetData>
      <sheetData sheetId="8">
        <row r="28">
          <cell r="H28">
            <v>124640</v>
          </cell>
        </row>
      </sheetData>
      <sheetData sheetId="9">
        <row r="5">
          <cell r="I5">
            <v>445.01703211785929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2.64</v>
          </cell>
        </row>
      </sheetData>
      <sheetData sheetId="21"/>
      <sheetData sheetId="22"/>
      <sheetData sheetId="23">
        <row r="8">
          <cell r="D8">
            <v>2.94</v>
          </cell>
        </row>
      </sheetData>
      <sheetData sheetId="24"/>
      <sheetData sheetId="25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  <sheetName val="RESUMOr_FARMA"/>
      <sheetName val="Generalidades_FARMA"/>
      <sheetName val="Fracionada_FARMA"/>
    </sheetNames>
    <sheetDataSet>
      <sheetData sheetId="0"/>
      <sheetData sheetId="1"/>
      <sheetData sheetId="2">
        <row r="20">
          <cell r="D20">
            <v>757.02949200751323</v>
          </cell>
        </row>
      </sheetData>
      <sheetData sheetId="3">
        <row r="8">
          <cell r="E8">
            <v>598.54535432108912</v>
          </cell>
        </row>
      </sheetData>
      <sheetData sheetId="4"/>
      <sheetData sheetId="5">
        <row r="8">
          <cell r="E8">
            <v>158.48413768642411</v>
          </cell>
        </row>
      </sheetData>
      <sheetData sheetId="6"/>
      <sheetData sheetId="7">
        <row r="27">
          <cell r="H27">
            <v>201150</v>
          </cell>
        </row>
      </sheetData>
      <sheetData sheetId="8">
        <row r="28">
          <cell r="H28">
            <v>124570</v>
          </cell>
        </row>
      </sheetData>
      <sheetData sheetId="9">
        <row r="5">
          <cell r="I5">
            <v>445.0410687123333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2.64</v>
          </cell>
        </row>
      </sheetData>
      <sheetData sheetId="21"/>
      <sheetData sheetId="22"/>
      <sheetData sheetId="23">
        <row r="8">
          <cell r="D8">
            <v>2.94</v>
          </cell>
        </row>
      </sheetData>
      <sheetData sheetId="24"/>
      <sheetData sheetId="25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762.22155747351758</v>
          </cell>
        </row>
      </sheetData>
      <sheetData sheetId="3">
        <row r="8">
          <cell r="E8">
            <v>600.63751721481219</v>
          </cell>
        </row>
      </sheetData>
      <sheetData sheetId="4"/>
      <sheetData sheetId="5">
        <row r="8">
          <cell r="E8">
            <v>161.58404025870544</v>
          </cell>
        </row>
      </sheetData>
      <sheetData sheetId="6"/>
      <sheetData sheetId="7">
        <row r="27">
          <cell r="H27">
            <v>199300</v>
          </cell>
        </row>
      </sheetData>
      <sheetData sheetId="8">
        <row r="28">
          <cell r="H28">
            <v>125164</v>
          </cell>
        </row>
      </sheetData>
      <sheetData sheetId="9">
        <row r="5">
          <cell r="I5">
            <v>445.07295872551498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2.7510000000000003</v>
          </cell>
        </row>
      </sheetData>
      <sheetData sheetId="21"/>
      <sheetData sheetId="22"/>
      <sheetData sheetId="23">
        <row r="8">
          <cell r="D8">
            <v>2.94</v>
          </cell>
        </row>
      </sheetData>
      <sheetData sheetId="24"/>
      <sheetData sheetId="25"/>
      <sheetData sheetId="2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769.48390606798569</v>
          </cell>
        </row>
      </sheetData>
      <sheetData sheetId="3">
        <row r="8">
          <cell r="E8">
            <v>603.6965964558475</v>
          </cell>
        </row>
      </sheetData>
      <sheetData sheetId="4"/>
      <sheetData sheetId="5">
        <row r="8">
          <cell r="E8">
            <v>165.78730961213816</v>
          </cell>
        </row>
      </sheetData>
      <sheetData sheetId="6"/>
      <sheetData sheetId="7">
        <row r="27">
          <cell r="H27">
            <v>197266</v>
          </cell>
        </row>
      </sheetData>
      <sheetData sheetId="8">
        <row r="28">
          <cell r="H28">
            <v>125663</v>
          </cell>
        </row>
      </sheetData>
      <sheetData sheetId="9">
        <row r="5">
          <cell r="I5">
            <v>445.22676507607042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2.7570000000000006</v>
          </cell>
        </row>
      </sheetData>
      <sheetData sheetId="21"/>
      <sheetData sheetId="22"/>
      <sheetData sheetId="23">
        <row r="8">
          <cell r="D8">
            <v>2.94</v>
          </cell>
        </row>
      </sheetData>
      <sheetData sheetId="24"/>
      <sheetData sheetId="25"/>
      <sheetData sheetId="2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772.33446303142148</v>
          </cell>
        </row>
      </sheetData>
      <sheetData sheetId="3">
        <row r="8">
          <cell r="E8">
            <v>604.22199993844004</v>
          </cell>
        </row>
      </sheetData>
      <sheetData sheetId="4"/>
      <sheetData sheetId="5">
        <row r="8">
          <cell r="E8">
            <v>168.11246309298144</v>
          </cell>
        </row>
      </sheetData>
      <sheetData sheetId="6"/>
      <sheetData sheetId="7">
        <row r="27">
          <cell r="H27">
            <v>195600</v>
          </cell>
        </row>
      </sheetData>
      <sheetData sheetId="8">
        <row r="28">
          <cell r="H28">
            <v>125867</v>
          </cell>
        </row>
      </sheetData>
      <sheetData sheetId="9">
        <row r="5">
          <cell r="I5">
            <v>445.81565019322875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2.7669999999999999</v>
          </cell>
        </row>
      </sheetData>
      <sheetData sheetId="21"/>
      <sheetData sheetId="22"/>
      <sheetData sheetId="23">
        <row r="8">
          <cell r="D8">
            <v>2.9408333333333334</v>
          </cell>
        </row>
      </sheetData>
      <sheetData sheetId="24"/>
      <sheetData sheetId="25"/>
      <sheetData sheetId="2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776.08036051673764</v>
          </cell>
        </row>
      </sheetData>
      <sheetData sheetId="3">
        <row r="8">
          <cell r="E8">
            <v>606.81402454703482</v>
          </cell>
        </row>
      </sheetData>
      <sheetData sheetId="4"/>
      <sheetData sheetId="5">
        <row r="8">
          <cell r="E8">
            <v>169.26633596970285</v>
          </cell>
        </row>
      </sheetData>
      <sheetData sheetId="6"/>
      <sheetData sheetId="7">
        <row r="27">
          <cell r="H27">
            <v>200250</v>
          </cell>
        </row>
      </sheetData>
      <sheetData sheetId="8">
        <row r="28">
          <cell r="H28">
            <v>130940</v>
          </cell>
        </row>
      </sheetData>
      <sheetData sheetId="9">
        <row r="5">
          <cell r="I5">
            <v>446.84037179766915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2.9550000000000005</v>
          </cell>
        </row>
      </sheetData>
      <sheetData sheetId="21"/>
      <sheetData sheetId="22"/>
      <sheetData sheetId="23">
        <row r="8">
          <cell r="D8">
            <v>3.0574999999999997</v>
          </cell>
        </row>
      </sheetData>
      <sheetData sheetId="24"/>
      <sheetData sheetId="25"/>
      <sheetData sheetId="2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779.32999844387473</v>
          </cell>
        </row>
      </sheetData>
      <sheetData sheetId="3">
        <row r="8">
          <cell r="E8">
            <v>609.3780593138722</v>
          </cell>
        </row>
      </sheetData>
      <sheetData sheetId="4"/>
      <sheetData sheetId="5">
        <row r="8">
          <cell r="E8">
            <v>169.95193913000259</v>
          </cell>
        </row>
      </sheetData>
      <sheetData sheetId="6"/>
      <sheetData sheetId="7">
        <row r="27">
          <cell r="H27">
            <v>202463</v>
          </cell>
        </row>
      </sheetData>
      <sheetData sheetId="8">
        <row r="28">
          <cell r="H28">
            <v>133151</v>
          </cell>
        </row>
      </sheetData>
      <sheetData sheetId="9">
        <row r="5">
          <cell r="I5">
            <v>448.6787626182624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2.9570000000000003</v>
          </cell>
        </row>
      </sheetData>
      <sheetData sheetId="21"/>
      <sheetData sheetId="22"/>
      <sheetData sheetId="23">
        <row r="8">
          <cell r="D8">
            <v>2.9816666666666669</v>
          </cell>
        </row>
      </sheetData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PESOSa"/>
      <sheetName val="PESOSr"/>
      <sheetName val="PESOSdat"/>
      <sheetName val="PESOSou"/>
      <sheetName val="DAT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643.84421843655889</v>
          </cell>
        </row>
      </sheetData>
      <sheetData sheetId="3">
        <row r="8">
          <cell r="E8">
            <v>511.18622226519227</v>
          </cell>
        </row>
      </sheetData>
      <sheetData sheetId="4"/>
      <sheetData sheetId="5">
        <row r="8">
          <cell r="E8">
            <v>132.65799617136665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2.0456000000000003</v>
          </cell>
        </row>
      </sheetData>
      <sheetData sheetId="21"/>
      <sheetData sheetId="22"/>
      <sheetData sheetId="23">
        <row r="9">
          <cell r="D9">
            <v>4.0980000000000008</v>
          </cell>
        </row>
      </sheetData>
      <sheetData sheetId="24"/>
      <sheetData sheetId="25"/>
      <sheetData sheetId="26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781.57273611267362</v>
          </cell>
        </row>
      </sheetData>
      <sheetData sheetId="3">
        <row r="8">
          <cell r="E8">
            <v>611.12801490032371</v>
          </cell>
        </row>
      </sheetData>
      <sheetData sheetId="4"/>
      <sheetData sheetId="5">
        <row r="8">
          <cell r="E8">
            <v>170.44472121234995</v>
          </cell>
        </row>
      </sheetData>
      <sheetData sheetId="6"/>
      <sheetData sheetId="7">
        <row r="27">
          <cell r="H27">
            <v>203470</v>
          </cell>
        </row>
      </sheetData>
      <sheetData sheetId="8">
        <row r="28">
          <cell r="H28">
            <v>129592</v>
          </cell>
        </row>
      </sheetData>
      <sheetData sheetId="9">
        <row r="5">
          <cell r="I5">
            <v>448.81494476718171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2.9580000000000006</v>
          </cell>
        </row>
      </sheetData>
      <sheetData sheetId="21"/>
      <sheetData sheetId="22"/>
      <sheetData sheetId="23">
        <row r="8">
          <cell r="D8">
            <v>2.9816666666666669</v>
          </cell>
        </row>
      </sheetData>
      <sheetData sheetId="24"/>
      <sheetData sheetId="25"/>
      <sheetData sheetId="26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811.53047719371352</v>
          </cell>
        </row>
      </sheetData>
      <sheetData sheetId="3">
        <row r="8">
          <cell r="E8">
            <v>636.24755917422431</v>
          </cell>
        </row>
      </sheetData>
      <sheetData sheetId="4"/>
      <sheetData sheetId="5">
        <row r="8">
          <cell r="E8">
            <v>175.28291801948922</v>
          </cell>
        </row>
      </sheetData>
      <sheetData sheetId="6"/>
      <sheetData sheetId="7">
        <row r="27">
          <cell r="H27">
            <v>199609</v>
          </cell>
        </row>
      </sheetData>
      <sheetData sheetId="8">
        <row r="28">
          <cell r="H28">
            <v>130150</v>
          </cell>
        </row>
      </sheetData>
      <sheetData sheetId="9">
        <row r="5">
          <cell r="I5">
            <v>473.32484766290173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2.956</v>
          </cell>
        </row>
      </sheetData>
      <sheetData sheetId="21"/>
      <sheetData sheetId="22"/>
      <sheetData sheetId="23">
        <row r="8">
          <cell r="D8">
            <v>2.999166666666667</v>
          </cell>
        </row>
      </sheetData>
      <sheetData sheetId="24"/>
      <sheetData sheetId="25"/>
      <sheetData sheetId="2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817.32569163668791</v>
          </cell>
        </row>
      </sheetData>
      <sheetData sheetId="3">
        <row r="8">
          <cell r="E8">
            <v>640.62507506591385</v>
          </cell>
        </row>
      </sheetData>
      <sheetData sheetId="4"/>
      <sheetData sheetId="5">
        <row r="8">
          <cell r="E8">
            <v>176.70061657077412</v>
          </cell>
        </row>
      </sheetData>
      <sheetData sheetId="6"/>
      <sheetData sheetId="7">
        <row r="27">
          <cell r="H27">
            <v>203266</v>
          </cell>
        </row>
      </sheetData>
      <sheetData sheetId="8">
        <row r="28">
          <cell r="H28">
            <v>130150</v>
          </cell>
        </row>
      </sheetData>
      <sheetData sheetId="9">
        <row r="5">
          <cell r="I5">
            <v>476.17196324930632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2.9570000000000003</v>
          </cell>
        </row>
      </sheetData>
      <sheetData sheetId="21"/>
      <sheetData sheetId="22"/>
      <sheetData sheetId="23">
        <row r="8">
          <cell r="D8">
            <v>3.0158333333333336</v>
          </cell>
        </row>
      </sheetData>
      <sheetData sheetId="24"/>
      <sheetData sheetId="25"/>
      <sheetData sheetId="2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826.89430782732643</v>
          </cell>
        </row>
      </sheetData>
      <sheetData sheetId="3">
        <row r="8">
          <cell r="E8">
            <v>649.60388666703193</v>
          </cell>
        </row>
      </sheetData>
      <sheetData sheetId="4"/>
      <sheetData sheetId="5">
        <row r="8">
          <cell r="E8">
            <v>177.29042116029456</v>
          </cell>
        </row>
      </sheetData>
      <sheetData sheetId="6"/>
      <sheetData sheetId="7">
        <row r="27">
          <cell r="H27">
            <v>201162</v>
          </cell>
        </row>
      </sheetData>
      <sheetData sheetId="8">
        <row r="28">
          <cell r="H28">
            <v>131562</v>
          </cell>
        </row>
      </sheetData>
      <sheetData sheetId="9">
        <row r="5">
          <cell r="I5">
            <v>486.2234470421991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2.9520000000000004</v>
          </cell>
        </row>
      </sheetData>
      <sheetData sheetId="21"/>
      <sheetData sheetId="22"/>
      <sheetData sheetId="23">
        <row r="8">
          <cell r="D8">
            <v>3.0158333333333336</v>
          </cell>
        </row>
      </sheetData>
      <sheetData sheetId="24"/>
      <sheetData sheetId="25"/>
      <sheetData sheetId="2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827.71191303341709</v>
          </cell>
        </row>
      </sheetData>
      <sheetData sheetId="3">
        <row r="8">
          <cell r="E8">
            <v>649.93564533037193</v>
          </cell>
        </row>
      </sheetData>
      <sheetData sheetId="4"/>
      <sheetData sheetId="5">
        <row r="8">
          <cell r="E8">
            <v>177.77626770304516</v>
          </cell>
        </row>
      </sheetData>
      <sheetData sheetId="6"/>
      <sheetData sheetId="7">
        <row r="27">
          <cell r="H27">
            <v>199194</v>
          </cell>
        </row>
      </sheetData>
      <sheetData sheetId="8">
        <row r="28">
          <cell r="H28">
            <v>131289</v>
          </cell>
        </row>
      </sheetData>
      <sheetData sheetId="9">
        <row r="5">
          <cell r="I5">
            <v>486.27786751163529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2.9510000000000001</v>
          </cell>
        </row>
      </sheetData>
      <sheetData sheetId="21"/>
      <sheetData sheetId="22"/>
      <sheetData sheetId="23">
        <row r="8">
          <cell r="D8">
            <v>3.0158333333333336</v>
          </cell>
        </row>
      </sheetData>
      <sheetData sheetId="24"/>
      <sheetData sheetId="25"/>
      <sheetData sheetId="2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828.09648188281494</v>
          </cell>
        </row>
      </sheetData>
      <sheetData sheetId="3">
        <row r="8">
          <cell r="E8">
            <v>650.20750074883426</v>
          </cell>
        </row>
      </sheetData>
      <sheetData sheetId="4"/>
      <sheetData sheetId="5">
        <row r="8">
          <cell r="E8">
            <v>177.88898113398074</v>
          </cell>
        </row>
      </sheetData>
      <sheetData sheetId="6"/>
      <sheetData sheetId="7">
        <row r="27">
          <cell r="H27">
            <v>197894</v>
          </cell>
        </row>
      </sheetData>
      <sheetData sheetId="8">
        <row r="28">
          <cell r="H28">
            <v>129511</v>
          </cell>
        </row>
      </sheetData>
      <sheetData sheetId="9">
        <row r="5">
          <cell r="I5">
            <v>486.30146066170386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2.9600000000000004</v>
          </cell>
        </row>
      </sheetData>
      <sheetData sheetId="21"/>
      <sheetData sheetId="22"/>
      <sheetData sheetId="23">
        <row r="8">
          <cell r="D8">
            <v>3.0408333333333335</v>
          </cell>
        </row>
      </sheetData>
      <sheetData sheetId="24"/>
      <sheetData sheetId="25"/>
      <sheetData sheetId="2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832.27356814240386</v>
          </cell>
        </row>
      </sheetData>
      <sheetData sheetId="3">
        <row r="8">
          <cell r="E8">
            <v>652.83802589570018</v>
          </cell>
        </row>
      </sheetData>
      <sheetData sheetId="4"/>
      <sheetData sheetId="5">
        <row r="8">
          <cell r="E8">
            <v>179.43554224670368</v>
          </cell>
        </row>
      </sheetData>
      <sheetData sheetId="6"/>
      <sheetData sheetId="7">
        <row r="27">
          <cell r="H27">
            <v>197894</v>
          </cell>
        </row>
      </sheetData>
      <sheetData sheetId="8">
        <row r="28">
          <cell r="H28">
            <v>127563</v>
          </cell>
        </row>
      </sheetData>
      <sheetData sheetId="9">
        <row r="5">
          <cell r="I5">
            <v>486.34971101290904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3.0830000000000006</v>
          </cell>
        </row>
      </sheetData>
      <sheetData sheetId="21"/>
      <sheetData sheetId="22"/>
      <sheetData sheetId="23">
        <row r="8">
          <cell r="D8">
            <v>3.0158333333333336</v>
          </cell>
        </row>
      </sheetData>
      <sheetData sheetId="24"/>
      <sheetData sheetId="25"/>
      <sheetData sheetId="2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835.54588920495542</v>
          </cell>
        </row>
      </sheetData>
      <sheetData sheetId="3">
        <row r="8">
          <cell r="E8">
            <v>654.1146126145087</v>
          </cell>
        </row>
      </sheetData>
      <sheetData sheetId="4"/>
      <sheetData sheetId="5">
        <row r="8">
          <cell r="E8">
            <v>181.43127659044669</v>
          </cell>
        </row>
      </sheetData>
      <sheetData sheetId="6"/>
      <sheetData sheetId="7">
        <row r="27">
          <cell r="H27">
            <v>190000</v>
          </cell>
        </row>
      </sheetData>
      <sheetData sheetId="8">
        <row r="28">
          <cell r="H28">
            <v>126621</v>
          </cell>
        </row>
      </sheetData>
      <sheetData sheetId="9">
        <row r="5">
          <cell r="I5">
            <v>486.42293111007984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3.1230000000000007</v>
          </cell>
        </row>
      </sheetData>
      <sheetData sheetId="21"/>
      <sheetData sheetId="22"/>
      <sheetData sheetId="23">
        <row r="8">
          <cell r="D8">
            <v>3.0158333333333336</v>
          </cell>
        </row>
      </sheetData>
      <sheetData sheetId="24"/>
      <sheetData sheetId="25"/>
      <sheetData sheetId="26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842.90505617830547</v>
          </cell>
        </row>
      </sheetData>
      <sheetData sheetId="3">
        <row r="8">
          <cell r="E8">
            <v>659.34841922332475</v>
          </cell>
        </row>
      </sheetData>
      <sheetData sheetId="4"/>
      <sheetData sheetId="5">
        <row r="8">
          <cell r="E8">
            <v>183.55663695498072</v>
          </cell>
        </row>
      </sheetData>
      <sheetData sheetId="6"/>
      <sheetData sheetId="7">
        <row r="27">
          <cell r="H27">
            <v>190710</v>
          </cell>
        </row>
      </sheetData>
      <sheetData sheetId="8">
        <row r="28">
          <cell r="H28">
            <v>126159</v>
          </cell>
        </row>
      </sheetData>
      <sheetData sheetId="9">
        <row r="5">
          <cell r="I5">
            <v>486.52804434037193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3.1290000000000004</v>
          </cell>
        </row>
      </sheetData>
      <sheetData sheetId="21"/>
      <sheetData sheetId="22"/>
      <sheetData sheetId="23">
        <row r="8">
          <cell r="D8">
            <v>3.0741666666666667</v>
          </cell>
        </row>
      </sheetData>
      <sheetData sheetId="24"/>
      <sheetData sheetId="25"/>
      <sheetData sheetId="26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844.62743366269717</v>
          </cell>
        </row>
      </sheetData>
      <sheetData sheetId="3">
        <row r="8">
          <cell r="E8">
            <v>660.72211202042649</v>
          </cell>
        </row>
      </sheetData>
      <sheetData sheetId="4"/>
      <sheetData sheetId="5">
        <row r="8">
          <cell r="E8">
            <v>183.90532164227071</v>
          </cell>
        </row>
      </sheetData>
      <sheetData sheetId="6"/>
      <sheetData sheetId="7">
        <row r="27">
          <cell r="H27">
            <v>194120</v>
          </cell>
        </row>
      </sheetData>
      <sheetData sheetId="8">
        <row r="28">
          <cell r="H28">
            <v>125916</v>
          </cell>
        </row>
      </sheetData>
      <sheetData sheetId="9">
        <row r="5">
          <cell r="I5">
            <v>486.6152425271348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3.1559999999999997</v>
          </cell>
        </row>
      </sheetData>
      <sheetData sheetId="21"/>
      <sheetData sheetId="22"/>
      <sheetData sheetId="23">
        <row r="8">
          <cell r="D8">
            <v>2.9408333333333334</v>
          </cell>
        </row>
      </sheetData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PESOSa"/>
      <sheetName val="PESOSr"/>
      <sheetName val="PESOSdat"/>
      <sheetName val="PESOSou"/>
      <sheetName val="DAT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669.76716308423829</v>
          </cell>
        </row>
      </sheetData>
      <sheetData sheetId="3">
        <row r="8">
          <cell r="E8">
            <v>532.52347500327835</v>
          </cell>
        </row>
      </sheetData>
      <sheetData sheetId="4"/>
      <sheetData sheetId="5">
        <row r="8">
          <cell r="E8">
            <v>137.24368808095991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2.069</v>
          </cell>
        </row>
      </sheetData>
      <sheetData sheetId="21"/>
      <sheetData sheetId="22"/>
      <sheetData sheetId="23">
        <row r="9">
          <cell r="D9">
            <v>4.1070000000000002</v>
          </cell>
        </row>
      </sheetData>
      <sheetData sheetId="24"/>
      <sheetData sheetId="25"/>
      <sheetData sheetId="2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848.61778115195625</v>
          </cell>
        </row>
      </sheetData>
      <sheetData sheetId="3">
        <row r="8">
          <cell r="E8">
            <v>662.81777896367794</v>
          </cell>
        </row>
      </sheetData>
      <sheetData sheetId="4"/>
      <sheetData sheetId="5">
        <row r="8">
          <cell r="E8">
            <v>185.80000218827828</v>
          </cell>
        </row>
      </sheetData>
      <sheetData sheetId="6"/>
      <sheetData sheetId="7">
        <row r="27">
          <cell r="H27">
            <v>192650</v>
          </cell>
        </row>
      </sheetData>
      <sheetData sheetId="8">
        <row r="28">
          <cell r="H28">
            <v>128322</v>
          </cell>
        </row>
      </sheetData>
      <sheetData sheetId="9">
        <row r="5">
          <cell r="I5">
            <v>487.04984998552271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3.16</v>
          </cell>
        </row>
      </sheetData>
      <sheetData sheetId="21"/>
      <sheetData sheetId="22"/>
      <sheetData sheetId="23">
        <row r="8">
          <cell r="D8">
            <v>2.5245000000000002</v>
          </cell>
        </row>
      </sheetData>
      <sheetData sheetId="24"/>
      <sheetData sheetId="25"/>
      <sheetData sheetId="26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851.45918456091692</v>
          </cell>
        </row>
      </sheetData>
      <sheetData sheetId="3">
        <row r="8">
          <cell r="E8">
            <v>664.38532255948803</v>
          </cell>
        </row>
      </sheetData>
      <sheetData sheetId="4"/>
      <sheetData sheetId="5">
        <row r="8">
          <cell r="E8">
            <v>187.07386200142892</v>
          </cell>
        </row>
      </sheetData>
      <sheetData sheetId="6"/>
      <sheetData sheetId="7">
        <row r="27">
          <cell r="H27">
            <v>194510</v>
          </cell>
        </row>
      </sheetData>
      <sheetData sheetId="8">
        <row r="28">
          <cell r="H28">
            <v>131335</v>
          </cell>
        </row>
      </sheetData>
      <sheetData sheetId="9">
        <row r="5">
          <cell r="I5">
            <v>487.1441232495589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3.1629999999999998</v>
          </cell>
        </row>
      </sheetData>
      <sheetData sheetId="21"/>
      <sheetData sheetId="22"/>
      <sheetData sheetId="23">
        <row r="8">
          <cell r="D8">
            <v>2.5245000000000002</v>
          </cell>
        </row>
      </sheetData>
      <sheetData sheetId="24"/>
      <sheetData sheetId="25"/>
      <sheetData sheetId="26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852.8412811692624</v>
          </cell>
        </row>
      </sheetData>
      <sheetData sheetId="3">
        <row r="8">
          <cell r="E8">
            <v>665.23073904891885</v>
          </cell>
        </row>
      </sheetData>
      <sheetData sheetId="4"/>
      <sheetData sheetId="5">
        <row r="8">
          <cell r="E8">
            <v>187.61054212034355</v>
          </cell>
        </row>
      </sheetData>
      <sheetData sheetId="6"/>
      <sheetData sheetId="7">
        <row r="27">
          <cell r="H27">
            <v>196014</v>
          </cell>
        </row>
      </sheetData>
      <sheetData sheetId="8">
        <row r="28">
          <cell r="H28">
            <v>132455</v>
          </cell>
        </row>
      </sheetData>
      <sheetData sheetId="9">
        <row r="5">
          <cell r="I5">
            <v>487.18820145842159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3.1640000000000006</v>
          </cell>
        </row>
      </sheetData>
      <sheetData sheetId="21"/>
      <sheetData sheetId="22"/>
      <sheetData sheetId="23">
        <row r="8">
          <cell r="D8">
            <v>2.5245000000000002</v>
          </cell>
        </row>
      </sheetData>
      <sheetData sheetId="24"/>
      <sheetData sheetId="25"/>
      <sheetData sheetId="26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880.13131052910285</v>
          </cell>
        </row>
      </sheetData>
      <sheetData sheetId="3">
        <row r="8">
          <cell r="E8">
            <v>688.77314960087301</v>
          </cell>
        </row>
      </sheetData>
      <sheetData sheetId="4"/>
      <sheetData sheetId="5">
        <row r="8">
          <cell r="E8">
            <v>191.35816092822981</v>
          </cell>
        </row>
      </sheetData>
      <sheetData sheetId="6"/>
      <sheetData sheetId="7">
        <row r="27">
          <cell r="H27">
            <v>198125</v>
          </cell>
        </row>
      </sheetData>
      <sheetData sheetId="8">
        <row r="28">
          <cell r="H28">
            <v>132455</v>
          </cell>
        </row>
      </sheetData>
      <sheetData sheetId="9">
        <row r="5">
          <cell r="I5">
            <v>509.60667355910698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3.1580000000000004</v>
          </cell>
        </row>
      </sheetData>
      <sheetData sheetId="21"/>
      <sheetData sheetId="22"/>
      <sheetData sheetId="23">
        <row r="8">
          <cell r="D8">
            <v>2.5245000000000002</v>
          </cell>
        </row>
      </sheetData>
      <sheetData sheetId="24"/>
      <sheetData sheetId="25"/>
      <sheetData sheetId="2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893.07076275704947</v>
          </cell>
        </row>
      </sheetData>
      <sheetData sheetId="3">
        <row r="8">
          <cell r="E8">
            <v>697.76301748380524</v>
          </cell>
        </row>
      </sheetData>
      <sheetData sheetId="4"/>
      <sheetData sheetId="5">
        <row r="8">
          <cell r="E8">
            <v>195.30774527324425</v>
          </cell>
        </row>
      </sheetData>
      <sheetData sheetId="6"/>
      <sheetData sheetId="7">
        <row r="27">
          <cell r="H27">
            <v>199133</v>
          </cell>
        </row>
      </sheetData>
      <sheetData sheetId="8">
        <row r="28">
          <cell r="H28">
            <v>134035</v>
          </cell>
        </row>
      </sheetData>
      <sheetData sheetId="9">
        <row r="5">
          <cell r="I5">
            <v>515.78562013498197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3.1589999999999994</v>
          </cell>
        </row>
      </sheetData>
      <sheetData sheetId="21"/>
      <sheetData sheetId="22"/>
      <sheetData sheetId="23">
        <row r="8">
          <cell r="D8">
            <v>2.4578333333333338</v>
          </cell>
        </row>
      </sheetData>
      <sheetData sheetId="24"/>
      <sheetData sheetId="25"/>
      <sheetData sheetId="26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908.02041165635433</v>
          </cell>
        </row>
      </sheetData>
      <sheetData sheetId="3">
        <row r="8">
          <cell r="E8">
            <v>710.4907069216282</v>
          </cell>
        </row>
      </sheetData>
      <sheetData sheetId="4"/>
      <sheetData sheetId="5">
        <row r="8">
          <cell r="E8">
            <v>197.52970473472618</v>
          </cell>
        </row>
      </sheetData>
      <sheetData sheetId="6"/>
      <sheetData sheetId="7">
        <row r="27">
          <cell r="H27">
            <v>200160</v>
          </cell>
        </row>
      </sheetData>
      <sheetData sheetId="8">
        <row r="28">
          <cell r="H28">
            <v>135217</v>
          </cell>
        </row>
      </sheetData>
      <sheetData sheetId="9">
        <row r="5">
          <cell r="I5">
            <v>526.71795507948264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3.1520000000000006</v>
          </cell>
        </row>
      </sheetData>
      <sheetData sheetId="21"/>
      <sheetData sheetId="22"/>
      <sheetData sheetId="23">
        <row r="8">
          <cell r="D8">
            <v>2.4578333333333338</v>
          </cell>
        </row>
      </sheetData>
      <sheetData sheetId="24"/>
      <sheetData sheetId="25"/>
      <sheetData sheetId="26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907.50147379339273</v>
          </cell>
        </row>
      </sheetData>
      <sheetData sheetId="3">
        <row r="8">
          <cell r="E8">
            <v>710.69045582503566</v>
          </cell>
        </row>
      </sheetData>
      <sheetData sheetId="4"/>
      <sheetData sheetId="5">
        <row r="8">
          <cell r="E8">
            <v>196.81101796835702</v>
          </cell>
        </row>
      </sheetData>
      <sheetData sheetId="6"/>
      <sheetData sheetId="7">
        <row r="27">
          <cell r="H27">
            <v>201180</v>
          </cell>
        </row>
      </sheetData>
      <sheetData sheetId="8">
        <row r="28">
          <cell r="H28">
            <v>135711</v>
          </cell>
        </row>
      </sheetData>
      <sheetData sheetId="9">
        <row r="5">
          <cell r="I5">
            <v>527.8808345333523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3.1499999999999995</v>
          </cell>
        </row>
      </sheetData>
      <sheetData sheetId="21"/>
      <sheetData sheetId="22"/>
      <sheetData sheetId="23">
        <row r="8">
          <cell r="D8">
            <v>2.4578333333333338</v>
          </cell>
        </row>
      </sheetData>
      <sheetData sheetId="24"/>
      <sheetData sheetId="25"/>
      <sheetData sheetId="26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908.78307461076486</v>
          </cell>
        </row>
      </sheetData>
      <sheetData sheetId="3">
        <row r="8">
          <cell r="E8">
            <v>711.48078511931749</v>
          </cell>
        </row>
      </sheetData>
      <sheetData sheetId="4"/>
      <sheetData sheetId="5">
        <row r="8">
          <cell r="E8">
            <v>197.30228949144737</v>
          </cell>
        </row>
      </sheetData>
      <sheetData sheetId="6"/>
      <sheetData sheetId="7">
        <row r="27">
          <cell r="H27">
            <v>201020</v>
          </cell>
        </row>
      </sheetData>
      <sheetData sheetId="8">
        <row r="28">
          <cell r="H28">
            <v>135702</v>
          </cell>
        </row>
      </sheetData>
      <sheetData sheetId="9">
        <row r="5">
          <cell r="I5">
            <v>528.06830504851087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3.1490000000000005</v>
          </cell>
        </row>
      </sheetData>
      <sheetData sheetId="21"/>
      <sheetData sheetId="22"/>
      <sheetData sheetId="23">
        <row r="8">
          <cell r="D8">
            <v>2.4578333333333338</v>
          </cell>
        </row>
      </sheetData>
      <sheetData sheetId="24"/>
      <sheetData sheetId="25"/>
      <sheetData sheetId="26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908.89057187779667</v>
          </cell>
        </row>
      </sheetData>
      <sheetData sheetId="3">
        <row r="8">
          <cell r="E8">
            <v>711.64542261109409</v>
          </cell>
        </row>
      </sheetData>
      <sheetData sheetId="4"/>
      <sheetData sheetId="5">
        <row r="8">
          <cell r="E8">
            <v>197.24514926670261</v>
          </cell>
        </row>
      </sheetData>
      <sheetData sheetId="6"/>
      <sheetData sheetId="7">
        <row r="27">
          <cell r="H27">
            <v>202114</v>
          </cell>
        </row>
      </sheetData>
      <sheetData sheetId="8">
        <row r="28">
          <cell r="H28">
            <v>135531</v>
          </cell>
        </row>
      </sheetData>
      <sheetData sheetId="9">
        <row r="5">
          <cell r="I5">
            <v>528.03357505562326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3.1469999999999994</v>
          </cell>
        </row>
      </sheetData>
      <sheetData sheetId="21"/>
      <sheetData sheetId="22"/>
      <sheetData sheetId="23">
        <row r="8">
          <cell r="D8">
            <v>2.4578333333333338</v>
          </cell>
        </row>
      </sheetData>
      <sheetData sheetId="24"/>
      <sheetData sheetId="25"/>
      <sheetData sheetId="26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909.36192751690521</v>
          </cell>
        </row>
      </sheetData>
      <sheetData sheetId="3">
        <row r="8">
          <cell r="E8">
            <v>711.97359851772455</v>
          </cell>
        </row>
      </sheetData>
      <sheetData sheetId="4"/>
      <sheetData sheetId="5">
        <row r="8">
          <cell r="E8">
            <v>197.38832899918063</v>
          </cell>
        </row>
      </sheetData>
      <sheetData sheetId="6"/>
      <sheetData sheetId="7">
        <row r="27">
          <cell r="H27">
            <v>202675</v>
          </cell>
        </row>
      </sheetData>
      <sheetData sheetId="8">
        <row r="28">
          <cell r="H28">
            <v>136293</v>
          </cell>
        </row>
      </sheetData>
      <sheetData sheetId="9">
        <row r="5">
          <cell r="I5">
            <v>528.26206334466713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3.1280000000000001</v>
          </cell>
        </row>
      </sheetData>
      <sheetData sheetId="21"/>
      <sheetData sheetId="22"/>
      <sheetData sheetId="23">
        <row r="8">
          <cell r="D8">
            <v>2.3911666666666673</v>
          </cell>
        </row>
      </sheetData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PESOSa"/>
      <sheetName val="PESOSr"/>
      <sheetName val="PESOSdat"/>
      <sheetName val="PESOSou"/>
      <sheetName val="DAT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671.28313065880684</v>
          </cell>
        </row>
      </sheetData>
      <sheetData sheetId="3">
        <row r="8">
          <cell r="E8">
            <v>533.39524448890916</v>
          </cell>
        </row>
      </sheetData>
      <sheetData sheetId="4"/>
      <sheetData sheetId="5">
        <row r="8">
          <cell r="E8">
            <v>137.88788616989771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2.0751999999999997</v>
          </cell>
        </row>
      </sheetData>
      <sheetData sheetId="21"/>
      <sheetData sheetId="22"/>
      <sheetData sheetId="23">
        <row r="9">
          <cell r="D9">
            <v>4.1020000000000003</v>
          </cell>
        </row>
      </sheetData>
      <sheetData sheetId="24"/>
      <sheetData sheetId="25"/>
      <sheetData sheetId="2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910.36135828146871</v>
          </cell>
        </row>
      </sheetData>
      <sheetData sheetId="3">
        <row r="8">
          <cell r="E8">
            <v>712.54729324534219</v>
          </cell>
        </row>
      </sheetData>
      <sheetData sheetId="4"/>
      <sheetData sheetId="5">
        <row r="8">
          <cell r="E8">
            <v>197.81406503612655</v>
          </cell>
        </row>
      </sheetData>
      <sheetData sheetId="6"/>
      <sheetData sheetId="7">
        <row r="27">
          <cell r="H27">
            <v>204399</v>
          </cell>
        </row>
      </sheetData>
      <sheetData sheetId="8">
        <row r="28">
          <cell r="H28">
            <v>138751</v>
          </cell>
        </row>
      </sheetData>
      <sheetData sheetId="9">
        <row r="5">
          <cell r="I5">
            <v>528.35129702397796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3.1900000000000004</v>
          </cell>
        </row>
      </sheetData>
      <sheetData sheetId="21"/>
      <sheetData sheetId="22"/>
      <sheetData sheetId="23">
        <row r="8">
          <cell r="D8">
            <v>2.3911666666666673</v>
          </cell>
        </row>
      </sheetData>
      <sheetData sheetId="24"/>
      <sheetData sheetId="25"/>
      <sheetData sheetId="26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913.7442639515308</v>
          </cell>
        </row>
      </sheetData>
      <sheetData sheetId="3">
        <row r="8">
          <cell r="E8">
            <v>714.66993772261355</v>
          </cell>
        </row>
      </sheetData>
      <sheetData sheetId="4"/>
      <sheetData sheetId="5">
        <row r="8">
          <cell r="E8">
            <v>199.07432622891724</v>
          </cell>
        </row>
      </sheetData>
      <sheetData sheetId="6"/>
      <sheetData sheetId="7">
        <row r="27">
          <cell r="H27">
            <v>203666</v>
          </cell>
        </row>
      </sheetData>
      <sheetData sheetId="8">
        <row r="28">
          <cell r="H28">
            <v>139426</v>
          </cell>
        </row>
      </sheetData>
      <sheetData sheetId="9">
        <row r="5">
          <cell r="I5">
            <v>529.09548711075286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3.262</v>
          </cell>
        </row>
      </sheetData>
      <sheetData sheetId="21"/>
      <sheetData sheetId="22"/>
      <sheetData sheetId="23">
        <row r="8">
          <cell r="D8">
            <v>2.3911666666666673</v>
          </cell>
        </row>
      </sheetData>
      <sheetData sheetId="24"/>
      <sheetData sheetId="25"/>
      <sheetData sheetId="26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915.18692787517114</v>
          </cell>
        </row>
      </sheetData>
      <sheetData sheetId="3">
        <row r="8">
          <cell r="E8">
            <v>715.60013927988598</v>
          </cell>
        </row>
      </sheetData>
      <sheetData sheetId="4"/>
      <sheetData sheetId="5">
        <row r="8">
          <cell r="E8">
            <v>199.58678859528516</v>
          </cell>
        </row>
      </sheetData>
      <sheetData sheetId="6"/>
      <sheetData sheetId="7">
        <row r="27">
          <cell r="H27">
            <v>204390</v>
          </cell>
        </row>
      </sheetData>
      <sheetData sheetId="8">
        <row r="28">
          <cell r="H28">
            <v>140631</v>
          </cell>
        </row>
      </sheetData>
      <sheetData sheetId="9">
        <row r="5">
          <cell r="I5">
            <v>529.49642417440168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3.238</v>
          </cell>
        </row>
      </sheetData>
      <sheetData sheetId="21"/>
      <sheetData sheetId="22"/>
      <sheetData sheetId="23">
        <row r="8">
          <cell r="D8">
            <v>2.3911666666666673</v>
          </cell>
        </row>
      </sheetData>
      <sheetData sheetId="24"/>
      <sheetData sheetId="25"/>
      <sheetData sheetId="26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914.94856933049095</v>
          </cell>
        </row>
      </sheetData>
      <sheetData sheetId="3">
        <row r="8">
          <cell r="E8">
            <v>715.19028105722009</v>
          </cell>
        </row>
      </sheetData>
      <sheetData sheetId="4"/>
      <sheetData sheetId="5">
        <row r="8">
          <cell r="E8">
            <v>199.75828827327081</v>
          </cell>
        </row>
      </sheetData>
      <sheetData sheetId="6"/>
      <sheetData sheetId="7">
        <row r="27">
          <cell r="H27">
            <v>203666</v>
          </cell>
        </row>
      </sheetData>
      <sheetData sheetId="8">
        <row r="28">
          <cell r="H28">
            <v>142776</v>
          </cell>
        </row>
      </sheetData>
      <sheetData sheetId="9">
        <row r="5">
          <cell r="I5">
            <v>529.52968183998325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3.1750000000000003</v>
          </cell>
        </row>
      </sheetData>
      <sheetData sheetId="21"/>
      <sheetData sheetId="22"/>
      <sheetData sheetId="23">
        <row r="8">
          <cell r="D8">
            <v>2.3911666666666673</v>
          </cell>
        </row>
      </sheetData>
      <sheetData sheetId="24"/>
      <sheetData sheetId="25"/>
      <sheetData sheetId="26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913.03068017067494</v>
          </cell>
        </row>
      </sheetData>
      <sheetData sheetId="3">
        <row r="8">
          <cell r="E8">
            <v>714.07064319512824</v>
          </cell>
        </row>
      </sheetData>
      <sheetData sheetId="4"/>
      <sheetData sheetId="5">
        <row r="8">
          <cell r="E8">
            <v>198.96003697554673</v>
          </cell>
        </row>
      </sheetData>
      <sheetData sheetId="6"/>
      <sheetData sheetId="7">
        <row r="27">
          <cell r="H27">
            <v>202944</v>
          </cell>
        </row>
      </sheetData>
      <sheetData sheetId="8">
        <row r="28">
          <cell r="H28">
            <v>142747</v>
          </cell>
        </row>
      </sheetData>
      <sheetData sheetId="9">
        <row r="5">
          <cell r="I5">
            <v>529.65729700825625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3.1539999999999999</v>
          </cell>
        </row>
      </sheetData>
      <sheetData sheetId="21"/>
      <sheetData sheetId="22"/>
      <sheetData sheetId="23">
        <row r="8">
          <cell r="D8">
            <v>2.3911666666666673</v>
          </cell>
        </row>
      </sheetData>
      <sheetData sheetId="24"/>
      <sheetData sheetId="25"/>
      <sheetData sheetId="26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926.6695595900153</v>
          </cell>
        </row>
      </sheetData>
      <sheetData sheetId="3">
        <row r="8">
          <cell r="E8">
            <v>725.96984240587949</v>
          </cell>
        </row>
      </sheetData>
      <sheetData sheetId="4"/>
      <sheetData sheetId="5">
        <row r="8">
          <cell r="E8">
            <v>200.69971718413586</v>
          </cell>
        </row>
      </sheetData>
      <sheetData sheetId="6"/>
      <sheetData sheetId="7">
        <row r="27">
          <cell r="H27">
            <v>202705</v>
          </cell>
        </row>
      </sheetData>
      <sheetData sheetId="8">
        <row r="28">
          <cell r="H28">
            <v>142062</v>
          </cell>
        </row>
      </sheetData>
      <sheetData sheetId="9">
        <row r="5">
          <cell r="I5">
            <v>543.34737269805419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3.1520000000000006</v>
          </cell>
        </row>
      </sheetData>
      <sheetData sheetId="21"/>
      <sheetData sheetId="22"/>
      <sheetData sheetId="23">
        <row r="8">
          <cell r="D8">
            <v>2.3911666666666673</v>
          </cell>
        </row>
      </sheetData>
      <sheetData sheetId="24"/>
      <sheetData sheetId="25"/>
      <sheetData sheetId="26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925.51036220424021</v>
          </cell>
        </row>
      </sheetData>
      <sheetData sheetId="3">
        <row r="8">
          <cell r="E8">
            <v>725.31692770348229</v>
          </cell>
        </row>
      </sheetData>
      <sheetData sheetId="4"/>
      <sheetData sheetId="5">
        <row r="8">
          <cell r="E8">
            <v>200.19343450075797</v>
          </cell>
        </row>
      </sheetData>
      <sheetData sheetId="6"/>
      <sheetData sheetId="7">
        <row r="27">
          <cell r="H27">
            <v>202462</v>
          </cell>
        </row>
      </sheetData>
      <sheetData sheetId="8">
        <row r="28">
          <cell r="H28">
            <v>145870</v>
          </cell>
        </row>
      </sheetData>
      <sheetData sheetId="9">
        <row r="5">
          <cell r="I5">
            <v>544.38285129678582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3.0979999999999994</v>
          </cell>
        </row>
      </sheetData>
      <sheetData sheetId="21"/>
      <sheetData sheetId="22"/>
      <sheetData sheetId="23">
        <row r="8">
          <cell r="D8">
            <v>2.3911666666666673</v>
          </cell>
        </row>
      </sheetData>
      <sheetData sheetId="24"/>
      <sheetData sheetId="25"/>
      <sheetData sheetId="26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930.08880745567967</v>
          </cell>
        </row>
      </sheetData>
      <sheetData sheetId="3">
        <row r="8">
          <cell r="E8">
            <v>730.92578491022482</v>
          </cell>
        </row>
      </sheetData>
      <sheetData sheetId="4"/>
      <sheetData sheetId="5">
        <row r="8">
          <cell r="E8">
            <v>199.16302254545485</v>
          </cell>
        </row>
      </sheetData>
      <sheetData sheetId="6"/>
      <sheetData sheetId="7">
        <row r="27">
          <cell r="H27">
            <v>235642</v>
          </cell>
        </row>
      </sheetData>
      <sheetData sheetId="8">
        <row r="28">
          <cell r="H28">
            <v>148251</v>
          </cell>
        </row>
      </sheetData>
      <sheetData sheetId="9">
        <row r="5">
          <cell r="I5">
            <v>544.61459102600861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3.1849999999999996</v>
          </cell>
        </row>
      </sheetData>
      <sheetData sheetId="21"/>
      <sheetData sheetId="22"/>
      <sheetData sheetId="23">
        <row r="8">
          <cell r="D8">
            <v>2.3911666666666673</v>
          </cell>
        </row>
      </sheetData>
      <sheetData sheetId="24"/>
      <sheetData sheetId="25"/>
      <sheetData sheetId="26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929.54172762201256</v>
          </cell>
        </row>
      </sheetData>
      <sheetData sheetId="3">
        <row r="8">
          <cell r="E8">
            <v>730.75061691945882</v>
          </cell>
        </row>
      </sheetData>
      <sheetData sheetId="4"/>
      <sheetData sheetId="5">
        <row r="8">
          <cell r="E8">
            <v>198.79111070255368</v>
          </cell>
        </row>
      </sheetData>
      <sheetData sheetId="6"/>
      <sheetData sheetId="7">
        <row r="27">
          <cell r="H27">
            <v>237923</v>
          </cell>
        </row>
      </sheetData>
      <sheetData sheetId="8">
        <row r="28">
          <cell r="H28">
            <v>149302</v>
          </cell>
        </row>
      </sheetData>
      <sheetData sheetId="9">
        <row r="5">
          <cell r="I5">
            <v>544.53326731116215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3.2459999999999996</v>
          </cell>
        </row>
      </sheetData>
      <sheetData sheetId="21"/>
      <sheetData sheetId="22"/>
      <sheetData sheetId="23">
        <row r="8">
          <cell r="D8">
            <v>2.3911666666666673</v>
          </cell>
        </row>
      </sheetData>
      <sheetData sheetId="24"/>
      <sheetData sheetId="25"/>
      <sheetData sheetId="26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930.8316876788233</v>
          </cell>
        </row>
      </sheetData>
      <sheetData sheetId="3">
        <row r="8">
          <cell r="E8">
            <v>731.76808850019756</v>
          </cell>
        </row>
      </sheetData>
      <sheetData sheetId="4"/>
      <sheetData sheetId="5">
        <row r="8">
          <cell r="E8">
            <v>199.06359917862568</v>
          </cell>
        </row>
      </sheetData>
      <sheetData sheetId="6"/>
      <sheetData sheetId="7">
        <row r="27">
          <cell r="H27">
            <v>239536</v>
          </cell>
        </row>
      </sheetData>
      <sheetData sheetId="8">
        <row r="28">
          <cell r="H28">
            <v>149038</v>
          </cell>
        </row>
      </sheetData>
      <sheetData sheetId="9">
        <row r="5">
          <cell r="I5">
            <v>544.70772192202958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3.3329999999999993</v>
          </cell>
        </row>
      </sheetData>
      <sheetData sheetId="21"/>
      <sheetData sheetId="22"/>
      <sheetData sheetId="23">
        <row r="8">
          <cell r="D8">
            <v>2.3911666666666673</v>
          </cell>
        </row>
      </sheetData>
      <sheetData sheetId="24"/>
      <sheetData sheetId="25"/>
      <sheetData sheetId="2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679.776777106807</v>
          </cell>
        </row>
      </sheetData>
      <sheetData sheetId="3">
        <row r="8">
          <cell r="E8">
            <v>540.86019003852107</v>
          </cell>
        </row>
      </sheetData>
      <sheetData sheetId="4"/>
      <sheetData sheetId="5">
        <row r="8">
          <cell r="E8">
            <v>138.91658706828591</v>
          </cell>
        </row>
      </sheetData>
      <sheetData sheetId="6"/>
      <sheetData sheetId="7">
        <row r="27">
          <cell r="H27">
            <v>209582.75</v>
          </cell>
        </row>
      </sheetData>
      <sheetData sheetId="8">
        <row r="28">
          <cell r="H28">
            <v>110553.2</v>
          </cell>
        </row>
      </sheetData>
      <sheetData sheetId="9">
        <row r="5">
          <cell r="I5">
            <v>403.69910343022531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2.1390000000000002</v>
          </cell>
        </row>
      </sheetData>
      <sheetData sheetId="21"/>
      <sheetData sheetId="22"/>
      <sheetData sheetId="23">
        <row r="9">
          <cell r="D9">
            <v>4.1020000000000003</v>
          </cell>
        </row>
      </sheetData>
      <sheetData sheetId="24"/>
      <sheetData sheetId="25"/>
      <sheetData sheetId="26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933.24630077359154</v>
          </cell>
        </row>
      </sheetData>
      <sheetData sheetId="3">
        <row r="8">
          <cell r="E8">
            <v>733.26852866931506</v>
          </cell>
        </row>
      </sheetData>
      <sheetData sheetId="4"/>
      <sheetData sheetId="5">
        <row r="8">
          <cell r="E8">
            <v>199.97777210427651</v>
          </cell>
        </row>
      </sheetData>
      <sheetData sheetId="6"/>
      <sheetData sheetId="7">
        <row r="27">
          <cell r="H27">
            <v>239536</v>
          </cell>
        </row>
      </sheetData>
      <sheetData sheetId="8">
        <row r="28">
          <cell r="H28">
            <v>149010</v>
          </cell>
        </row>
      </sheetData>
      <sheetData sheetId="9">
        <row r="5">
          <cell r="I5">
            <v>545.03788134231831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3.343</v>
          </cell>
        </row>
      </sheetData>
      <sheetData sheetId="21"/>
      <sheetData sheetId="22"/>
      <sheetData sheetId="23">
        <row r="8">
          <cell r="D8">
            <v>2.3911666666666673</v>
          </cell>
        </row>
      </sheetData>
      <sheetData sheetId="24"/>
      <sheetData sheetId="25"/>
      <sheetData sheetId="26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934.01324966508321</v>
          </cell>
        </row>
      </sheetData>
      <sheetData sheetId="3">
        <row r="8">
          <cell r="E8">
            <v>734.14217813829907</v>
          </cell>
        </row>
      </sheetData>
      <sheetData sheetId="4"/>
      <sheetData sheetId="5">
        <row r="8">
          <cell r="E8">
            <v>199.87107152678414</v>
          </cell>
        </row>
      </sheetData>
      <sheetData sheetId="6"/>
      <sheetData sheetId="7">
        <row r="27">
          <cell r="H27">
            <v>241260</v>
          </cell>
        </row>
      </sheetData>
      <sheetData sheetId="8">
        <row r="28">
          <cell r="H28">
            <v>148094</v>
          </cell>
        </row>
      </sheetData>
      <sheetData sheetId="9">
        <row r="5">
          <cell r="I5">
            <v>545.45826336109644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3.4329999999999998</v>
          </cell>
        </row>
      </sheetData>
      <sheetData sheetId="21"/>
      <sheetData sheetId="22"/>
      <sheetData sheetId="23">
        <row r="8">
          <cell r="D8">
            <v>1.823666666666667</v>
          </cell>
        </row>
      </sheetData>
      <sheetData sheetId="24"/>
      <sheetData sheetId="25"/>
      <sheetData sheetId="26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936.77496514217603</v>
          </cell>
        </row>
      </sheetData>
      <sheetData sheetId="3">
        <row r="8">
          <cell r="E8">
            <v>736.12799134768613</v>
          </cell>
        </row>
      </sheetData>
      <sheetData sheetId="4"/>
      <sheetData sheetId="5">
        <row r="8">
          <cell r="E8">
            <v>200.64697379448987</v>
          </cell>
        </row>
      </sheetData>
      <sheetData sheetId="6"/>
      <sheetData sheetId="7">
        <row r="27">
          <cell r="H27">
            <v>242360</v>
          </cell>
        </row>
      </sheetData>
      <sheetData sheetId="8">
        <row r="28">
          <cell r="H28">
            <v>146411</v>
          </cell>
        </row>
      </sheetData>
      <sheetData sheetId="9">
        <row r="5">
          <cell r="I5">
            <v>545.8244011260316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3.4639999999999995</v>
          </cell>
        </row>
      </sheetData>
      <sheetData sheetId="21"/>
      <sheetData sheetId="22"/>
      <sheetData sheetId="23">
        <row r="8">
          <cell r="D8">
            <v>1.823666666666667</v>
          </cell>
        </row>
      </sheetData>
      <sheetData sheetId="24"/>
      <sheetData sheetId="25"/>
      <sheetData sheetId="26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940.74334003568822</v>
          </cell>
        </row>
      </sheetData>
      <sheetData sheetId="3">
        <row r="8">
          <cell r="E8">
            <v>739.13243783509631</v>
          </cell>
        </row>
      </sheetData>
      <sheetData sheetId="4"/>
      <sheetData sheetId="5">
        <row r="8">
          <cell r="E8">
            <v>201.61090220059191</v>
          </cell>
        </row>
      </sheetData>
      <sheetData sheetId="6"/>
      <sheetData sheetId="7">
        <row r="27">
          <cell r="H27">
            <v>245168</v>
          </cell>
        </row>
      </sheetData>
      <sheetData sheetId="8">
        <row r="28">
          <cell r="H28">
            <v>145993</v>
          </cell>
        </row>
      </sheetData>
      <sheetData sheetId="9">
        <row r="5">
          <cell r="I5">
            <v>546.91931948942249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3.5010000000000003</v>
          </cell>
        </row>
      </sheetData>
      <sheetData sheetId="21"/>
      <sheetData sheetId="22"/>
      <sheetData sheetId="23">
        <row r="8">
          <cell r="D8">
            <v>1.823666666666667</v>
          </cell>
        </row>
      </sheetData>
      <sheetData sheetId="24"/>
      <sheetData sheetId="25"/>
      <sheetData sheetId="26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942.75951961054284</v>
          </cell>
        </row>
      </sheetData>
      <sheetData sheetId="3">
        <row r="8">
          <cell r="E8">
            <v>740.36203297983616</v>
          </cell>
        </row>
      </sheetData>
      <sheetData sheetId="4"/>
      <sheetData sheetId="5">
        <row r="8">
          <cell r="E8">
            <v>202.39748663070662</v>
          </cell>
        </row>
      </sheetData>
      <sheetData sheetId="6"/>
      <sheetData sheetId="7">
        <row r="27">
          <cell r="H27">
            <v>244260</v>
          </cell>
        </row>
      </sheetData>
      <sheetData sheetId="8">
        <row r="28">
          <cell r="H28">
            <v>147366</v>
          </cell>
        </row>
      </sheetData>
      <sheetData sheetId="9">
        <row r="5">
          <cell r="I5">
            <v>547.65555464488511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3.5079999999999996</v>
          </cell>
        </row>
      </sheetData>
      <sheetData sheetId="21"/>
      <sheetData sheetId="22"/>
      <sheetData sheetId="23">
        <row r="8">
          <cell r="D8">
            <v>1.823666666666667</v>
          </cell>
        </row>
      </sheetData>
      <sheetData sheetId="24"/>
      <sheetData sheetId="25"/>
      <sheetData sheetId="26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942.59932710578494</v>
          </cell>
        </row>
      </sheetData>
      <sheetData sheetId="3">
        <row r="8">
          <cell r="E8">
            <v>740.19904066817833</v>
          </cell>
        </row>
      </sheetData>
      <sheetData sheetId="4"/>
      <sheetData sheetId="5">
        <row r="8">
          <cell r="E8">
            <v>202.40028643760664</v>
          </cell>
        </row>
      </sheetData>
      <sheetData sheetId="6"/>
      <sheetData sheetId="7">
        <row r="27">
          <cell r="H27">
            <v>242384</v>
          </cell>
        </row>
      </sheetData>
      <sheetData sheetId="8">
        <row r="28">
          <cell r="H28">
            <v>146459</v>
          </cell>
        </row>
      </sheetData>
      <sheetData sheetId="9">
        <row r="5">
          <cell r="I5">
            <v>547.71073476643357</v>
          </cell>
        </row>
      </sheetData>
      <sheetData sheetId="10"/>
      <sheetData sheetId="11"/>
      <sheetData sheetId="12"/>
      <sheetData sheetId="13"/>
      <sheetData sheetId="14"/>
      <sheetData sheetId="15">
        <row r="21">
          <cell r="D21">
            <v>23540.05</v>
          </cell>
        </row>
      </sheetData>
      <sheetData sheetId="16"/>
      <sheetData sheetId="17"/>
      <sheetData sheetId="18">
        <row r="17">
          <cell r="D17">
            <v>501.15</v>
          </cell>
        </row>
      </sheetData>
      <sheetData sheetId="19">
        <row r="24">
          <cell r="D24">
            <v>894.9</v>
          </cell>
        </row>
      </sheetData>
      <sheetData sheetId="20">
        <row r="18">
          <cell r="F18">
            <v>3.5040000000000004</v>
          </cell>
        </row>
      </sheetData>
      <sheetData sheetId="21"/>
      <sheetData sheetId="22"/>
      <sheetData sheetId="23">
        <row r="8">
          <cell r="D8">
            <v>1.823666666666667</v>
          </cell>
        </row>
      </sheetData>
      <sheetData sheetId="24"/>
      <sheetData sheetId="25"/>
      <sheetData sheetId="26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944.43319894475439</v>
          </cell>
        </row>
      </sheetData>
      <sheetData sheetId="3">
        <row r="8">
          <cell r="E8">
            <v>741.05006577706149</v>
          </cell>
        </row>
      </sheetData>
      <sheetData sheetId="4"/>
      <sheetData sheetId="5">
        <row r="8">
          <cell r="E8">
            <v>203.38313316769296</v>
          </cell>
        </row>
      </sheetData>
      <sheetData sheetId="6"/>
      <sheetData sheetId="7">
        <row r="27">
          <cell r="H27">
            <v>240599</v>
          </cell>
        </row>
      </sheetData>
      <sheetData sheetId="8">
        <row r="28">
          <cell r="H28">
            <v>147294</v>
          </cell>
        </row>
      </sheetData>
      <sheetData sheetId="9">
        <row r="5">
          <cell r="I5">
            <v>547.75705093816964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3.5550000000000002</v>
          </cell>
        </row>
      </sheetData>
      <sheetData sheetId="21"/>
      <sheetData sheetId="22"/>
      <sheetData sheetId="23">
        <row r="8">
          <cell r="D8">
            <v>1.823666666666667</v>
          </cell>
        </row>
      </sheetData>
      <sheetData sheetId="24"/>
      <sheetData sheetId="25"/>
      <sheetData sheetId="26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948.58729484908281</v>
          </cell>
        </row>
      </sheetData>
      <sheetData sheetId="3">
        <row r="8">
          <cell r="E8">
            <v>743.77784660635302</v>
          </cell>
        </row>
      </sheetData>
      <sheetData sheetId="4"/>
      <sheetData sheetId="5">
        <row r="8">
          <cell r="E8">
            <v>204.80944824272984</v>
          </cell>
        </row>
      </sheetData>
      <sheetData sheetId="6"/>
      <sheetData sheetId="7">
        <row r="27">
          <cell r="H27">
            <v>240878</v>
          </cell>
        </row>
      </sheetData>
      <sheetData sheetId="8">
        <row r="28">
          <cell r="H28">
            <v>146848</v>
          </cell>
        </row>
      </sheetData>
      <sheetData sheetId="9">
        <row r="5">
          <cell r="I5">
            <v>548.140891798854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3.863</v>
          </cell>
        </row>
      </sheetData>
      <sheetData sheetId="21"/>
      <sheetData sheetId="22"/>
      <sheetData sheetId="23">
        <row r="8">
          <cell r="D8">
            <v>1.823666666666667</v>
          </cell>
        </row>
      </sheetData>
      <sheetData sheetId="24"/>
      <sheetData sheetId="25"/>
      <sheetData sheetId="26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967.4258007516562</v>
          </cell>
        </row>
      </sheetData>
      <sheetData sheetId="3">
        <row r="8">
          <cell r="E8">
            <v>758.19740360626304</v>
          </cell>
        </row>
      </sheetData>
      <sheetData sheetId="4"/>
      <sheetData sheetId="5">
        <row r="8">
          <cell r="E8">
            <v>209.22839714539313</v>
          </cell>
        </row>
      </sheetData>
      <sheetData sheetId="6"/>
      <sheetData sheetId="7">
        <row r="27">
          <cell r="H27">
            <v>241009</v>
          </cell>
        </row>
      </sheetData>
      <sheetData sheetId="8">
        <row r="28">
          <cell r="H28">
            <v>148262</v>
          </cell>
        </row>
      </sheetData>
      <sheetData sheetId="9">
        <row r="5">
          <cell r="I5">
            <v>559.94210549052355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3.4649999999999999</v>
          </cell>
        </row>
      </sheetData>
      <sheetData sheetId="21"/>
      <sheetData sheetId="22"/>
      <sheetData sheetId="23">
        <row r="8">
          <cell r="D8">
            <v>1.823666666666667</v>
          </cell>
        </row>
      </sheetData>
      <sheetData sheetId="24"/>
      <sheetData sheetId="25"/>
      <sheetData sheetId="26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972.39725001051852</v>
          </cell>
        </row>
      </sheetData>
      <sheetData sheetId="3">
        <row r="8">
          <cell r="E8">
            <v>761.15732967473389</v>
          </cell>
        </row>
      </sheetData>
      <sheetData sheetId="4"/>
      <sheetData sheetId="5">
        <row r="8">
          <cell r="E8">
            <v>211.23992033578463</v>
          </cell>
        </row>
      </sheetData>
      <sheetData sheetId="6"/>
      <sheetData sheetId="7">
        <row r="27">
          <cell r="H27">
            <v>243375</v>
          </cell>
        </row>
      </sheetData>
      <sheetData sheetId="8">
        <row r="28">
          <cell r="I28">
            <v>146516</v>
          </cell>
        </row>
      </sheetData>
      <sheetData sheetId="9">
        <row r="5">
          <cell r="I5">
            <v>560.12570737093665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3.456</v>
          </cell>
        </row>
      </sheetData>
      <sheetData sheetId="21"/>
      <sheetData sheetId="22"/>
      <sheetData sheetId="23">
        <row r="8">
          <cell r="D8">
            <v>1.823666666666667</v>
          </cell>
        </row>
      </sheetData>
      <sheetData sheetId="24"/>
      <sheetData sheetId="25"/>
      <sheetData sheetId="2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683.34581898528586</v>
          </cell>
        </row>
      </sheetData>
      <sheetData sheetId="3">
        <row r="8">
          <cell r="E8">
            <v>542.90207533499665</v>
          </cell>
        </row>
      </sheetData>
      <sheetData sheetId="4"/>
      <sheetData sheetId="5">
        <row r="8">
          <cell r="E8">
            <v>140.44374365028926</v>
          </cell>
        </row>
      </sheetData>
      <sheetData sheetId="6"/>
      <sheetData sheetId="7">
        <row r="27">
          <cell r="H27">
            <v>209582.75</v>
          </cell>
        </row>
      </sheetData>
      <sheetData sheetId="8">
        <row r="28">
          <cell r="H28">
            <v>110553.2</v>
          </cell>
        </row>
      </sheetData>
      <sheetData sheetId="9">
        <row r="5">
          <cell r="I5">
            <v>403.69910343022531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2.1471999999999993</v>
          </cell>
        </row>
      </sheetData>
      <sheetData sheetId="21"/>
      <sheetData sheetId="22"/>
      <sheetData sheetId="23">
        <row r="9">
          <cell r="D9">
            <v>4.1539999999999999</v>
          </cell>
        </row>
      </sheetData>
      <sheetData sheetId="24"/>
      <sheetData sheetId="25"/>
      <sheetData sheetId="26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974.31587600468492</v>
          </cell>
        </row>
      </sheetData>
      <sheetData sheetId="3">
        <row r="8">
          <cell r="E8">
            <v>762.22049655809394</v>
          </cell>
        </row>
      </sheetData>
      <sheetData sheetId="4"/>
      <sheetData sheetId="5">
        <row r="8">
          <cell r="E8">
            <v>212.09537944659093</v>
          </cell>
        </row>
      </sheetData>
      <sheetData sheetId="6"/>
      <sheetData sheetId="7">
        <row r="27">
          <cell r="H27">
            <v>241892</v>
          </cell>
        </row>
      </sheetData>
      <sheetData sheetId="8">
        <row r="28">
          <cell r="I28">
            <v>147304</v>
          </cell>
        </row>
      </sheetData>
      <sheetData sheetId="9">
        <row r="5">
          <cell r="I5">
            <v>560.89327178915096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3.448999999999999</v>
          </cell>
        </row>
      </sheetData>
      <sheetData sheetId="21"/>
      <sheetData sheetId="22"/>
      <sheetData sheetId="23">
        <row r="8">
          <cell r="D8">
            <v>1.7903333333333336</v>
          </cell>
        </row>
      </sheetData>
      <sheetData sheetId="24"/>
      <sheetData sheetId="25"/>
      <sheetData sheetId="26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979.30677011824014</v>
          </cell>
        </row>
      </sheetData>
      <sheetData sheetId="3">
        <row r="8">
          <cell r="E8">
            <v>765.25794319345482</v>
          </cell>
        </row>
      </sheetData>
      <sheetData sheetId="4"/>
      <sheetData sheetId="5">
        <row r="8">
          <cell r="E8">
            <v>214.04882692478537</v>
          </cell>
        </row>
      </sheetData>
      <sheetData sheetId="6"/>
      <sheetData sheetId="7">
        <row r="27">
          <cell r="H27">
            <v>244232</v>
          </cell>
        </row>
      </sheetData>
      <sheetData sheetId="8">
        <row r="28">
          <cell r="I28">
            <v>149510</v>
          </cell>
        </row>
      </sheetData>
      <sheetData sheetId="9">
        <row r="5">
          <cell r="I5">
            <v>561.4998595359059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3.7319999999999998</v>
          </cell>
        </row>
      </sheetData>
      <sheetData sheetId="21"/>
      <sheetData sheetId="22"/>
      <sheetData sheetId="23">
        <row r="8">
          <cell r="D8">
            <v>1.7903333333333336</v>
          </cell>
        </row>
      </sheetData>
      <sheetData sheetId="24"/>
      <sheetData sheetId="25"/>
      <sheetData sheetId="26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987.20734708519467</v>
          </cell>
        </row>
      </sheetData>
      <sheetData sheetId="3">
        <row r="8">
          <cell r="E8">
            <v>770.02716406754075</v>
          </cell>
        </row>
      </sheetData>
      <sheetData sheetId="4"/>
      <sheetData sheetId="5">
        <row r="8">
          <cell r="E8">
            <v>217.18018301765397</v>
          </cell>
        </row>
      </sheetData>
      <sheetData sheetId="6"/>
      <sheetData sheetId="7">
        <row r="27">
          <cell r="H27">
            <v>246430</v>
          </cell>
        </row>
      </sheetData>
      <sheetData sheetId="8">
        <row r="28">
          <cell r="I28">
            <v>152787</v>
          </cell>
        </row>
      </sheetData>
      <sheetData sheetId="9">
        <row r="5">
          <cell r="I5">
            <v>562.05447557298635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3.7989999999999999</v>
          </cell>
        </row>
      </sheetData>
      <sheetData sheetId="21"/>
      <sheetData sheetId="22"/>
      <sheetData sheetId="23">
        <row r="8">
          <cell r="D8">
            <v>1.7903333333333336</v>
          </cell>
        </row>
      </sheetData>
      <sheetData sheetId="24"/>
      <sheetData sheetId="25"/>
      <sheetData sheetId="26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988.07891841926835</v>
          </cell>
        </row>
      </sheetData>
      <sheetData sheetId="3">
        <row r="8">
          <cell r="E8">
            <v>770.7534560233787</v>
          </cell>
        </row>
      </sheetData>
      <sheetData sheetId="4"/>
      <sheetData sheetId="5">
        <row r="8">
          <cell r="E8">
            <v>217.32546239588962</v>
          </cell>
        </row>
      </sheetData>
      <sheetData sheetId="6"/>
      <sheetData sheetId="7">
        <row r="27">
          <cell r="H27">
            <v>246430</v>
          </cell>
        </row>
      </sheetData>
      <sheetData sheetId="8">
        <row r="28">
          <cell r="I28">
            <v>152787</v>
          </cell>
        </row>
      </sheetData>
      <sheetData sheetId="9">
        <row r="5">
          <cell r="I5">
            <v>562.72849137294315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3.737000000000001</v>
          </cell>
        </row>
      </sheetData>
      <sheetData sheetId="21"/>
      <sheetData sheetId="22"/>
      <sheetData sheetId="23">
        <row r="8">
          <cell r="D8">
            <v>1.7903333333333336</v>
          </cell>
        </row>
      </sheetData>
      <sheetData sheetId="24"/>
      <sheetData sheetId="25"/>
      <sheetData sheetId="26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983.92803492783423</v>
          </cell>
        </row>
      </sheetData>
      <sheetData sheetId="3">
        <row r="8">
          <cell r="E8">
            <v>768.3632413531875</v>
          </cell>
        </row>
      </sheetData>
      <sheetData sheetId="4"/>
      <sheetData sheetId="5">
        <row r="8">
          <cell r="E8">
            <v>215.5647935746467</v>
          </cell>
        </row>
      </sheetData>
      <sheetData sheetId="6"/>
      <sheetData sheetId="7">
        <row r="27">
          <cell r="H27">
            <v>247456</v>
          </cell>
        </row>
      </sheetData>
      <sheetData sheetId="8">
        <row r="28">
          <cell r="I28">
            <v>154556</v>
          </cell>
        </row>
      </sheetData>
      <sheetData sheetId="9">
        <row r="5">
          <cell r="I5">
            <v>562.97175904167386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3.5629999999999997</v>
          </cell>
        </row>
      </sheetData>
      <sheetData sheetId="21"/>
      <sheetData sheetId="22"/>
      <sheetData sheetId="23">
        <row r="8">
          <cell r="D8">
            <v>1.7903333333333336</v>
          </cell>
        </row>
      </sheetData>
      <sheetData sheetId="24"/>
      <sheetData sheetId="25"/>
      <sheetData sheetId="26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983.12185917908414</v>
          </cell>
        </row>
      </sheetData>
      <sheetData sheetId="3">
        <row r="8">
          <cell r="E8">
            <v>768.27779795255753</v>
          </cell>
        </row>
      </sheetData>
      <sheetData sheetId="4"/>
      <sheetData sheetId="5">
        <row r="8">
          <cell r="E8">
            <v>214.84406122652655</v>
          </cell>
        </row>
      </sheetData>
      <sheetData sheetId="6"/>
      <sheetData sheetId="7">
        <row r="27">
          <cell r="H27">
            <v>252060</v>
          </cell>
        </row>
      </sheetData>
      <sheetData sheetId="8">
        <row r="28">
          <cell r="I28">
            <v>155948</v>
          </cell>
        </row>
      </sheetData>
      <sheetData sheetId="9">
        <row r="5">
          <cell r="I5">
            <v>563.12750954627609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3.5399999999999996</v>
          </cell>
        </row>
      </sheetData>
      <sheetData sheetId="21"/>
      <sheetData sheetId="22"/>
      <sheetData sheetId="23">
        <row r="8">
          <cell r="D8">
            <v>1.7903333333333336</v>
          </cell>
        </row>
      </sheetData>
      <sheetData sheetId="24"/>
      <sheetData sheetId="25"/>
      <sheetData sheetId="26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985.40200642675859</v>
          </cell>
        </row>
      </sheetData>
      <sheetData sheetId="3">
        <row r="8">
          <cell r="E8">
            <v>770.02727167816329</v>
          </cell>
        </row>
      </sheetData>
      <sheetData sheetId="4"/>
      <sheetData sheetId="5">
        <row r="8">
          <cell r="E8">
            <v>215.37473474859536</v>
          </cell>
        </row>
      </sheetData>
      <sheetData sheetId="6"/>
      <sheetData sheetId="7">
        <row r="27">
          <cell r="H27">
            <v>255792</v>
          </cell>
        </row>
      </sheetData>
      <sheetData sheetId="8">
        <row r="28">
          <cell r="I28">
            <v>158026</v>
          </cell>
        </row>
      </sheetData>
      <sheetData sheetId="9">
        <row r="5">
          <cell r="I5">
            <v>563.77706786389922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3.5459999999999998</v>
          </cell>
        </row>
      </sheetData>
      <sheetData sheetId="21"/>
      <sheetData sheetId="22"/>
      <sheetData sheetId="23">
        <row r="6">
          <cell r="D6">
            <v>3.4439999999999995</v>
          </cell>
        </row>
        <row r="8">
          <cell r="D8">
            <v>1.7653333333333334</v>
          </cell>
        </row>
      </sheetData>
      <sheetData sheetId="24"/>
      <sheetData sheetId="25"/>
      <sheetData sheetId="26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992.62648353700729</v>
          </cell>
        </row>
      </sheetData>
      <sheetData sheetId="3">
        <row r="8">
          <cell r="E8">
            <v>774.8807716779653</v>
          </cell>
        </row>
      </sheetData>
      <sheetData sheetId="4"/>
      <sheetData sheetId="5">
        <row r="8">
          <cell r="E8">
            <v>217.74571185904196</v>
          </cell>
        </row>
      </sheetData>
      <sheetData sheetId="6"/>
      <sheetData sheetId="7">
        <row r="27">
          <cell r="H27">
            <v>262368</v>
          </cell>
        </row>
      </sheetData>
      <sheetData sheetId="8">
        <row r="28">
          <cell r="I28">
            <v>161420</v>
          </cell>
        </row>
      </sheetData>
      <sheetData sheetId="9">
        <row r="5">
          <cell r="I5">
            <v>564.55642226315695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E18">
            <v>3.5539999999999994</v>
          </cell>
          <cell r="F18">
            <v>3.637999999999999</v>
          </cell>
        </row>
      </sheetData>
      <sheetData sheetId="21"/>
      <sheetData sheetId="22"/>
      <sheetData sheetId="23">
        <row r="6">
          <cell r="D6">
            <v>3.5539999999999994</v>
          </cell>
        </row>
        <row r="8">
          <cell r="D8">
            <v>1.7653333333333334</v>
          </cell>
        </row>
      </sheetData>
      <sheetData sheetId="24"/>
      <sheetData sheetId="25"/>
      <sheetData sheetId="26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996.37688352170198</v>
          </cell>
        </row>
      </sheetData>
      <sheetData sheetId="3">
        <row r="8">
          <cell r="E8">
            <v>777.47325385714112</v>
          </cell>
        </row>
      </sheetData>
      <sheetData sheetId="4"/>
      <sheetData sheetId="5">
        <row r="8">
          <cell r="E8">
            <v>218.90362966456087</v>
          </cell>
        </row>
      </sheetData>
      <sheetData sheetId="6"/>
      <sheetData sheetId="7">
        <row r="27">
          <cell r="H27">
            <v>261344</v>
          </cell>
        </row>
      </sheetData>
      <sheetData sheetId="8">
        <row r="28">
          <cell r="I28">
            <v>158502</v>
          </cell>
        </row>
      </sheetData>
      <sheetData sheetId="9">
        <row r="5">
          <cell r="I5">
            <v>565.37243515485034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3.6949999999999998</v>
          </cell>
        </row>
      </sheetData>
      <sheetData sheetId="21"/>
      <sheetData sheetId="22"/>
      <sheetData sheetId="23">
        <row r="6">
          <cell r="D6">
            <v>3.6140000000000003</v>
          </cell>
        </row>
        <row r="8">
          <cell r="D8">
            <v>1.7653333333333334</v>
          </cell>
        </row>
      </sheetData>
      <sheetData sheetId="24"/>
      <sheetData sheetId="25"/>
      <sheetData sheetId="26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1021.9004032032439</v>
          </cell>
        </row>
      </sheetData>
      <sheetData sheetId="3">
        <row r="8">
          <cell r="E8">
            <v>798.67879032006647</v>
          </cell>
        </row>
      </sheetData>
      <sheetData sheetId="4"/>
      <sheetData sheetId="5">
        <row r="8">
          <cell r="E8">
            <v>223.22161288317741</v>
          </cell>
        </row>
      </sheetData>
      <sheetData sheetId="6"/>
      <sheetData sheetId="7">
        <row r="27">
          <cell r="H27">
            <v>261376</v>
          </cell>
        </row>
      </sheetData>
      <sheetData sheetId="8">
        <row r="28">
          <cell r="I28">
            <v>159454</v>
          </cell>
        </row>
      </sheetData>
      <sheetData sheetId="9">
        <row r="5">
          <cell r="I5">
            <v>584.73093962002906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3.7340000000000009</v>
          </cell>
        </row>
      </sheetData>
      <sheetData sheetId="21"/>
      <sheetData sheetId="22"/>
      <sheetData sheetId="23">
        <row r="6">
          <cell r="D6">
            <v>3.6539999999999999</v>
          </cell>
        </row>
        <row r="8">
          <cell r="D8">
            <v>1.823666666666667</v>
          </cell>
        </row>
      </sheetData>
      <sheetData sheetId="24"/>
      <sheetData sheetId="25"/>
      <sheetData sheetId="2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686.44405777232475</v>
          </cell>
        </row>
      </sheetData>
      <sheetData sheetId="3">
        <row r="8">
          <cell r="E8">
            <v>544.74509729743886</v>
          </cell>
        </row>
      </sheetData>
      <sheetData sheetId="4"/>
      <sheetData sheetId="5">
        <row r="8">
          <cell r="E8">
            <v>141.69896047488589</v>
          </cell>
        </row>
      </sheetData>
      <sheetData sheetId="6"/>
      <sheetData sheetId="7">
        <row r="27">
          <cell r="H27">
            <v>209582.75</v>
          </cell>
        </row>
      </sheetData>
      <sheetData sheetId="8">
        <row r="28">
          <cell r="H28">
            <v>110553.2</v>
          </cell>
        </row>
      </sheetData>
      <sheetData sheetId="9">
        <row r="5">
          <cell r="I5">
            <v>403.96287303972281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2.1471999999999993</v>
          </cell>
        </row>
      </sheetData>
      <sheetData sheetId="21"/>
      <sheetData sheetId="22"/>
      <sheetData sheetId="23">
        <row r="9">
          <cell r="D9">
            <v>4.1980000000000004</v>
          </cell>
        </row>
      </sheetData>
      <sheetData sheetId="24"/>
      <sheetData sheetId="25"/>
      <sheetData sheetId="26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1023.7610444451599</v>
          </cell>
        </row>
      </sheetData>
      <sheetData sheetId="3">
        <row r="8">
          <cell r="E8">
            <v>800.08218112930058</v>
          </cell>
        </row>
      </sheetData>
      <sheetData sheetId="4"/>
      <sheetData sheetId="5">
        <row r="8">
          <cell r="E8">
            <v>223.6788633158593</v>
          </cell>
        </row>
      </sheetData>
      <sheetData sheetId="6"/>
      <sheetData sheetId="7">
        <row r="27">
          <cell r="H27">
            <v>263887</v>
          </cell>
        </row>
      </sheetData>
      <sheetData sheetId="8">
        <row r="28">
          <cell r="I28">
            <v>159456</v>
          </cell>
        </row>
      </sheetData>
      <sheetData sheetId="9">
        <row r="5">
          <cell r="I5">
            <v>584.99294730190331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3.6619999999999995</v>
          </cell>
        </row>
      </sheetData>
      <sheetData sheetId="21"/>
      <sheetData sheetId="22"/>
      <sheetData sheetId="23">
        <row r="8">
          <cell r="D8">
            <v>1.823666666666667</v>
          </cell>
        </row>
      </sheetData>
      <sheetData sheetId="24"/>
      <sheetData sheetId="25"/>
      <sheetData sheetId="26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1027.9655595396689</v>
          </cell>
        </row>
      </sheetData>
      <sheetData sheetId="3">
        <row r="8">
          <cell r="E8">
            <v>803.08191672976886</v>
          </cell>
        </row>
      </sheetData>
      <sheetData sheetId="4"/>
      <sheetData sheetId="5">
        <row r="8">
          <cell r="E8">
            <v>224.88364280989998</v>
          </cell>
        </row>
      </sheetData>
      <sheetData sheetId="6"/>
      <sheetData sheetId="7">
        <row r="27">
          <cell r="H27">
            <v>265006</v>
          </cell>
        </row>
      </sheetData>
      <sheetData sheetId="8">
        <row r="28">
          <cell r="I28">
            <v>161923</v>
          </cell>
        </row>
      </sheetData>
      <sheetData sheetId="9">
        <row r="5">
          <cell r="I5">
            <v>586.7605876819174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3.6230000000000007</v>
          </cell>
        </row>
      </sheetData>
      <sheetData sheetId="21"/>
      <sheetData sheetId="22"/>
      <sheetData sheetId="23">
        <row r="8">
          <cell r="D8">
            <v>1.7903333333333336</v>
          </cell>
        </row>
      </sheetData>
      <sheetData sheetId="24"/>
      <sheetData sheetId="25"/>
      <sheetData sheetId="26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1030.4029915066048</v>
          </cell>
        </row>
      </sheetData>
      <sheetData sheetId="3">
        <row r="8">
          <cell r="E8">
            <v>805.29805924159211</v>
          </cell>
        </row>
      </sheetData>
      <sheetData sheetId="4"/>
      <sheetData sheetId="5">
        <row r="8">
          <cell r="E8">
            <v>225.10493226501276</v>
          </cell>
        </row>
      </sheetData>
      <sheetData sheetId="6"/>
      <sheetData sheetId="7">
        <row r="27">
          <cell r="H27">
            <v>271642</v>
          </cell>
        </row>
      </sheetData>
      <sheetData sheetId="8">
        <row r="28">
          <cell r="I28">
            <v>163880</v>
          </cell>
        </row>
      </sheetData>
      <sheetData sheetId="9">
        <row r="5">
          <cell r="I5">
            <v>587.66474896725219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3.6090000000000009</v>
          </cell>
        </row>
      </sheetData>
      <sheetData sheetId="21"/>
      <sheetData sheetId="22"/>
      <sheetData sheetId="23">
        <row r="8">
          <cell r="D8">
            <v>1.7903333333333336</v>
          </cell>
        </row>
      </sheetData>
      <sheetData sheetId="24"/>
      <sheetData sheetId="25"/>
      <sheetData sheetId="26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1030.2000337784684</v>
          </cell>
        </row>
      </sheetData>
      <sheetData sheetId="3">
        <row r="8">
          <cell r="E8">
            <v>805.802079335337</v>
          </cell>
        </row>
      </sheetData>
      <sheetData sheetId="4"/>
      <sheetData sheetId="5">
        <row r="8">
          <cell r="E8">
            <v>224.39795444313148</v>
          </cell>
        </row>
      </sheetData>
      <sheetData sheetId="6"/>
      <sheetData sheetId="7">
        <row r="27">
          <cell r="H27">
            <v>273550</v>
          </cell>
        </row>
      </sheetData>
      <sheetData sheetId="8">
        <row r="28">
          <cell r="I28">
            <v>165541</v>
          </cell>
        </row>
      </sheetData>
      <sheetData sheetId="9">
        <row r="5">
          <cell r="I5">
            <v>588.93960769543526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3.7489999999999997</v>
          </cell>
        </row>
      </sheetData>
      <sheetData sheetId="21"/>
      <sheetData sheetId="22"/>
      <sheetData sheetId="23">
        <row r="6">
          <cell r="D6">
            <v>3.6700000000000008</v>
          </cell>
        </row>
        <row r="8">
          <cell r="D8">
            <v>1.7903333333333336</v>
          </cell>
        </row>
      </sheetData>
      <sheetData sheetId="24"/>
      <sheetData sheetId="25"/>
      <sheetData sheetId="26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>
        <row r="5">
          <cell r="E5">
            <v>28.349075645174445</v>
          </cell>
        </row>
      </sheetData>
      <sheetData sheetId="1"/>
      <sheetData sheetId="2">
        <row r="20">
          <cell r="D20">
            <v>1033.62996447102</v>
          </cell>
        </row>
      </sheetData>
      <sheetData sheetId="3">
        <row r="8">
          <cell r="E8">
            <v>808.40435687991578</v>
          </cell>
        </row>
      </sheetData>
      <sheetData sheetId="4"/>
      <sheetData sheetId="5">
        <row r="8">
          <cell r="E8">
            <v>225.22560759110422</v>
          </cell>
        </row>
      </sheetData>
      <sheetData sheetId="6"/>
      <sheetData sheetId="7">
        <row r="27">
          <cell r="H27">
            <v>280196</v>
          </cell>
        </row>
      </sheetData>
      <sheetData sheetId="8">
        <row r="28">
          <cell r="I28">
            <v>165800</v>
          </cell>
        </row>
      </sheetData>
      <sheetData sheetId="9">
        <row r="5">
          <cell r="I5">
            <v>589.00652911042903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3.7850000000000001</v>
          </cell>
        </row>
      </sheetData>
      <sheetData sheetId="21"/>
      <sheetData sheetId="22"/>
      <sheetData sheetId="23">
        <row r="8">
          <cell r="D8">
            <v>1.7903333333333336</v>
          </cell>
        </row>
      </sheetData>
      <sheetData sheetId="24"/>
      <sheetData sheetId="25"/>
      <sheetData sheetId="26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>
        <row r="5">
          <cell r="E5">
            <v>28.468270469093142</v>
          </cell>
        </row>
      </sheetData>
      <sheetData sheetId="1">
        <row r="2">
          <cell r="K2" t="str">
            <v>NOVEMBRO|19</v>
          </cell>
        </row>
      </sheetData>
      <sheetData sheetId="2">
        <row r="20">
          <cell r="D20">
            <v>1037.0540698245391</v>
          </cell>
        </row>
      </sheetData>
      <sheetData sheetId="3">
        <row r="8">
          <cell r="E8">
            <v>811.13024950969793</v>
          </cell>
        </row>
      </sheetData>
      <sheetData sheetId="4"/>
      <sheetData sheetId="5">
        <row r="8">
          <cell r="E8">
            <v>225.92382031484112</v>
          </cell>
        </row>
      </sheetData>
      <sheetData sheetId="6"/>
      <sheetData sheetId="7">
        <row r="27">
          <cell r="H27">
            <v>285948</v>
          </cell>
        </row>
      </sheetData>
      <sheetData sheetId="8">
        <row r="28">
          <cell r="I28">
            <v>163773</v>
          </cell>
        </row>
      </sheetData>
      <sheetData sheetId="9">
        <row r="5">
          <cell r="I5">
            <v>589.25527241650923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3.7850000000000001</v>
          </cell>
        </row>
      </sheetData>
      <sheetData sheetId="21"/>
      <sheetData sheetId="22"/>
      <sheetData sheetId="23">
        <row r="8">
          <cell r="D8">
            <v>1.7903333333333336</v>
          </cell>
        </row>
      </sheetData>
      <sheetData sheetId="24"/>
      <sheetData sheetId="25"/>
      <sheetData sheetId="26">
        <row r="6">
          <cell r="A6" t="str">
            <v>NOVEMBRO|19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>
        <row r="5">
          <cell r="E5">
            <v>28.618425581812613</v>
          </cell>
        </row>
      </sheetData>
      <sheetData sheetId="1">
        <row r="2">
          <cell r="K2" t="str">
            <v>DEZEMBRO|19</v>
          </cell>
        </row>
      </sheetData>
      <sheetData sheetId="2">
        <row r="20">
          <cell r="D20">
            <v>1042.0744345682983</v>
          </cell>
        </row>
      </sheetData>
      <sheetData sheetId="3">
        <row r="8">
          <cell r="E8">
            <v>814.46416500735575</v>
          </cell>
        </row>
      </sheetData>
      <sheetData sheetId="4"/>
      <sheetData sheetId="5">
        <row r="8">
          <cell r="E8">
            <v>227.61026956094264</v>
          </cell>
        </row>
      </sheetData>
      <sheetData sheetId="6"/>
      <sheetData sheetId="7">
        <row r="27">
          <cell r="H27">
            <v>290121</v>
          </cell>
        </row>
      </sheetData>
      <sheetData sheetId="8">
        <row r="28">
          <cell r="I28">
            <v>167102</v>
          </cell>
        </row>
      </sheetData>
      <sheetData sheetId="9">
        <row r="5">
          <cell r="I5">
            <v>589.99864813865463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7">
          <cell r="D37">
            <v>340.4</v>
          </cell>
        </row>
      </sheetData>
      <sheetData sheetId="19"/>
      <sheetData sheetId="20">
        <row r="18">
          <cell r="F18">
            <v>3.8219999999999996</v>
          </cell>
        </row>
      </sheetData>
      <sheetData sheetId="21">
        <row r="7">
          <cell r="D7">
            <v>3.7510000000000003</v>
          </cell>
        </row>
      </sheetData>
      <sheetData sheetId="22">
        <row r="7">
          <cell r="D7">
            <v>3.7510000000000003</v>
          </cell>
        </row>
      </sheetData>
      <sheetData sheetId="23">
        <row r="8">
          <cell r="D8">
            <v>1.7903333333333336</v>
          </cell>
        </row>
      </sheetData>
      <sheetData sheetId="24"/>
      <sheetData sheetId="25"/>
      <sheetData sheetId="26">
        <row r="6">
          <cell r="A6" t="str">
            <v>DEZEMBRO|19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>
        <row r="4">
          <cell r="E4" t="str">
            <v>Sugestão</v>
          </cell>
        </row>
      </sheetData>
      <sheetData sheetId="1">
        <row r="2">
          <cell r="K2" t="str">
            <v>JANEIRO|20</v>
          </cell>
        </row>
      </sheetData>
      <sheetData sheetId="2">
        <row r="20">
          <cell r="D20">
            <v>1049.5552856031477</v>
          </cell>
        </row>
      </sheetData>
      <sheetData sheetId="3">
        <row r="8">
          <cell r="E8">
            <v>819.60891625500517</v>
          </cell>
        </row>
      </sheetData>
      <sheetData sheetId="4">
        <row r="10">
          <cell r="I10">
            <v>1.4999999999999999E-2</v>
          </cell>
        </row>
      </sheetData>
      <sheetData sheetId="5">
        <row r="8">
          <cell r="E8">
            <v>229.94636934814258</v>
          </cell>
        </row>
      </sheetData>
      <sheetData sheetId="6"/>
      <sheetData sheetId="7">
        <row r="27">
          <cell r="H27">
            <v>292609</v>
          </cell>
        </row>
      </sheetData>
      <sheetData sheetId="8">
        <row r="28">
          <cell r="I28">
            <v>164006</v>
          </cell>
        </row>
      </sheetData>
      <sheetData sheetId="9">
        <row r="5">
          <cell r="I5">
            <v>591.04541961299822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7">
          <cell r="D17">
            <v>524.9</v>
          </cell>
        </row>
      </sheetData>
      <sheetData sheetId="19"/>
      <sheetData sheetId="20">
        <row r="18">
          <cell r="F18">
            <v>3.8660000000000001</v>
          </cell>
        </row>
      </sheetData>
      <sheetData sheetId="21">
        <row r="7">
          <cell r="D7">
            <v>3.8000000000000003</v>
          </cell>
        </row>
      </sheetData>
      <sheetData sheetId="22"/>
      <sheetData sheetId="23">
        <row r="8">
          <cell r="D8">
            <v>1.7903333333333336</v>
          </cell>
        </row>
      </sheetData>
      <sheetData sheetId="24"/>
      <sheetData sheetId="25"/>
      <sheetData sheetId="26">
        <row r="6">
          <cell r="A6" t="str">
            <v>JANEIRO|20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>
        <row r="5">
          <cell r="E5">
            <v>28.823957750744157</v>
          </cell>
        </row>
      </sheetData>
      <sheetData sheetId="1">
        <row r="2">
          <cell r="K2" t="str">
            <v>FEVEREIRO|20</v>
          </cell>
        </row>
      </sheetData>
      <sheetData sheetId="2">
        <row r="20">
          <cell r="D20">
            <v>1049.4219007046736</v>
          </cell>
        </row>
      </sheetData>
      <sheetData sheetId="3">
        <row r="8">
          <cell r="E8">
            <v>819.34365468721398</v>
          </cell>
        </row>
      </sheetData>
      <sheetData sheetId="4">
        <row r="10">
          <cell r="I10">
            <v>1.4999999999999999E-2</v>
          </cell>
        </row>
      </sheetData>
      <sheetData sheetId="5">
        <row r="8">
          <cell r="E8">
            <v>230.07824601745966</v>
          </cell>
        </row>
      </sheetData>
      <sheetData sheetId="6"/>
      <sheetData sheetId="7">
        <row r="27">
          <cell r="H27">
            <v>289856</v>
          </cell>
        </row>
      </sheetData>
      <sheetData sheetId="8">
        <row r="28">
          <cell r="I28">
            <v>166792</v>
          </cell>
        </row>
      </sheetData>
      <sheetData sheetId="9">
        <row r="5">
          <cell r="I5">
            <v>591.83559797994815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3.762999999999999</v>
          </cell>
        </row>
      </sheetData>
      <sheetData sheetId="21">
        <row r="7">
          <cell r="D7">
            <v>3.677</v>
          </cell>
        </row>
      </sheetData>
      <sheetData sheetId="22"/>
      <sheetData sheetId="23">
        <row r="8">
          <cell r="D8">
            <v>1.9070000000000003</v>
          </cell>
        </row>
      </sheetData>
      <sheetData sheetId="24"/>
      <sheetData sheetId="25"/>
      <sheetData sheetId="26">
        <row r="6">
          <cell r="A6" t="str">
            <v>FEVEREIRO|20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>
        <row r="5">
          <cell r="E5">
            <v>28.766119608877052</v>
          </cell>
        </row>
      </sheetData>
      <sheetData sheetId="1">
        <row r="61">
          <cell r="H61">
            <v>7.2421707680632652</v>
          </cell>
        </row>
      </sheetData>
      <sheetData sheetId="2">
        <row r="20">
          <cell r="D20">
            <v>1048.6909552972907</v>
          </cell>
        </row>
      </sheetData>
      <sheetData sheetId="3">
        <row r="8">
          <cell r="E8">
            <v>818.44883441776551</v>
          </cell>
        </row>
      </sheetData>
      <sheetData sheetId="4"/>
      <sheetData sheetId="5">
        <row r="8">
          <cell r="E8">
            <v>230.24212087952523</v>
          </cell>
        </row>
      </sheetData>
      <sheetData sheetId="6"/>
      <sheetData sheetId="7">
        <row r="27">
          <cell r="H27">
            <v>290481</v>
          </cell>
        </row>
      </sheetData>
      <sheetData sheetId="8">
        <row r="28">
          <cell r="I28">
            <v>169490</v>
          </cell>
        </row>
      </sheetData>
      <sheetData sheetId="9">
        <row r="5">
          <cell r="I5">
            <v>591.15061080931355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3.59</v>
          </cell>
        </row>
      </sheetData>
      <sheetData sheetId="21">
        <row r="7">
          <cell r="D7">
            <v>3.4920000000000004</v>
          </cell>
        </row>
      </sheetData>
      <sheetData sheetId="22"/>
      <sheetData sheetId="23">
        <row r="8">
          <cell r="D8">
            <v>1.9070000000000003</v>
          </cell>
        </row>
      </sheetData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B1:M50"/>
  <sheetViews>
    <sheetView showGridLines="0" tabSelected="1" zoomScale="80" zoomScaleNormal="80" workbookViewId="0"/>
  </sheetViews>
  <sheetFormatPr defaultRowHeight="12.75"/>
  <cols>
    <col min="1" max="1" width="3.28515625" style="62" customWidth="1"/>
    <col min="2" max="2" width="46.28515625" style="62" customWidth="1"/>
    <col min="3" max="3" width="9.7109375" style="62" customWidth="1"/>
    <col min="4" max="4" width="14.28515625" style="62" customWidth="1"/>
    <col min="5" max="5" width="17.85546875" style="62" customWidth="1"/>
    <col min="6" max="6" width="14.7109375" style="62" customWidth="1"/>
    <col min="7" max="7" width="14.140625" style="62" customWidth="1"/>
    <col min="8" max="8" width="14.85546875" style="62" customWidth="1"/>
    <col min="9" max="9" width="18.28515625" style="62" customWidth="1"/>
    <col min="10" max="16384" width="9.140625" style="62"/>
  </cols>
  <sheetData>
    <row r="1" spans="2:13" ht="13.5" thickBot="1"/>
    <row r="2" spans="2:13" ht="37.5" customHeight="1" thickBot="1">
      <c r="B2" s="130"/>
      <c r="C2" s="290" t="s">
        <v>284</v>
      </c>
      <c r="D2" s="291"/>
      <c r="E2" s="291"/>
      <c r="F2" s="291"/>
      <c r="G2" s="291"/>
      <c r="H2" s="292" t="s">
        <v>321</v>
      </c>
      <c r="I2" s="293"/>
    </row>
    <row r="3" spans="2:13" s="63" customFormat="1" ht="49.5" customHeight="1" thickBot="1">
      <c r="B3" s="131"/>
      <c r="C3" s="100" t="s">
        <v>78</v>
      </c>
      <c r="D3" s="97" t="s">
        <v>79</v>
      </c>
      <c r="E3" s="98" t="s">
        <v>108</v>
      </c>
      <c r="F3" s="98" t="s">
        <v>80</v>
      </c>
      <c r="G3" s="98" t="s">
        <v>81</v>
      </c>
      <c r="H3" s="98" t="s">
        <v>82</v>
      </c>
      <c r="I3" s="99" t="s">
        <v>83</v>
      </c>
    </row>
    <row r="4" spans="2:13" ht="23.1" customHeight="1" thickBot="1">
      <c r="B4" s="96" t="s">
        <v>84</v>
      </c>
      <c r="C4" s="64" t="s">
        <v>85</v>
      </c>
      <c r="D4" s="132">
        <f>Diesel_500!$B$211</f>
        <v>3.3739999999999997</v>
      </c>
      <c r="E4" s="65">
        <f>Diesel_500!$C$211</f>
        <v>248.93020510550392</v>
      </c>
      <c r="F4" s="66">
        <f>Diesel_500!$G$211</f>
        <v>-7.688098495212059</v>
      </c>
      <c r="G4" s="66">
        <f>Diesel_500!$F$211</f>
        <v>-8.0653950953678777</v>
      </c>
      <c r="H4" s="66">
        <f>Diesel_500!$E$211</f>
        <v>-10.050653159157575</v>
      </c>
      <c r="I4" s="90">
        <f>Diesel_500!$D$211</f>
        <v>0</v>
      </c>
      <c r="K4" s="67"/>
    </row>
    <row r="5" spans="2:13" ht="23.1" customHeight="1" thickBot="1">
      <c r="B5" s="68" t="s">
        <v>86</v>
      </c>
      <c r="C5" s="69" t="s">
        <v>85</v>
      </c>
      <c r="D5" s="73">
        <f>Diesel_S10!$B$110</f>
        <v>3.4430000000000005</v>
      </c>
      <c r="E5" s="70">
        <f>Diesel_S10!$C$110</f>
        <v>164.79992341566151</v>
      </c>
      <c r="F5" s="71">
        <f>Diesel_S10!$G$110</f>
        <v>-7.7438370846730775</v>
      </c>
      <c r="G5" s="71">
        <f>Diesel_S10!$F$110</f>
        <v>-8.1621765804214199</v>
      </c>
      <c r="H5" s="71">
        <f>Diesel_S10!$E$110</f>
        <v>-9.9162742019884611</v>
      </c>
      <c r="I5" s="91">
        <f>Diesel_S10!$D$110</f>
        <v>0</v>
      </c>
      <c r="K5" s="67"/>
    </row>
    <row r="6" spans="2:13" ht="23.1" customHeight="1" thickBot="1">
      <c r="B6" s="68" t="s">
        <v>87</v>
      </c>
      <c r="C6" s="69" t="s">
        <v>85</v>
      </c>
      <c r="D6" s="73">
        <f>Arla_32!$B$110</f>
        <v>1.823666666666667</v>
      </c>
      <c r="E6" s="72">
        <f>Arla_32!$C$110</f>
        <v>44.829564077351698</v>
      </c>
      <c r="F6" s="71">
        <f>Arla_32!$G$110</f>
        <v>1.8618506795754941</v>
      </c>
      <c r="G6" s="71">
        <f>Arla_32!$F$110</f>
        <v>1.8618506795754941</v>
      </c>
      <c r="H6" s="71">
        <f>Arla_32!$E$110</f>
        <v>1.8618506795754941</v>
      </c>
      <c r="I6" s="91">
        <f>Arla_32!$D$110</f>
        <v>0</v>
      </c>
      <c r="K6" s="67"/>
    </row>
    <row r="7" spans="2:13" ht="23.1" customHeight="1" thickBot="1">
      <c r="B7" s="68" t="s">
        <v>88</v>
      </c>
      <c r="C7" s="69" t="s">
        <v>85</v>
      </c>
      <c r="D7" s="73">
        <f>Câmbio!$B$211</f>
        <v>24.985714285714288</v>
      </c>
      <c r="E7" s="72">
        <f>Câmbio!$C$211</f>
        <v>269.53305594082298</v>
      </c>
      <c r="F7" s="71">
        <f>+Câmbio!$G$211</f>
        <v>10.34700315457413</v>
      </c>
      <c r="G7" s="71">
        <f>+Câmbio!$F$211</f>
        <v>7.6307692307692188</v>
      </c>
      <c r="H7" s="71">
        <f>+Câmbio!$E$211</f>
        <v>7.6307692307692188</v>
      </c>
      <c r="I7" s="91">
        <f>+Câmbio!$D$211</f>
        <v>0</v>
      </c>
      <c r="M7" s="76"/>
    </row>
    <row r="8" spans="2:13" ht="23.1" customHeight="1" thickBot="1">
      <c r="B8" s="68" t="s">
        <v>89</v>
      </c>
      <c r="C8" s="69" t="s">
        <v>85</v>
      </c>
      <c r="D8" s="73">
        <f>Carter!$B$211</f>
        <v>19.38571428571429</v>
      </c>
      <c r="E8" s="72">
        <f>Carter!$C$211</f>
        <v>408.98131404460526</v>
      </c>
      <c r="F8" s="71">
        <f>+Carter!$G$211</f>
        <v>3.984674329501936</v>
      </c>
      <c r="G8" s="71">
        <f>+Carter!$F$211</f>
        <v>1.6479400749063844</v>
      </c>
      <c r="H8" s="71">
        <f>+Carter!$E$211</f>
        <v>1.6479400749063844</v>
      </c>
      <c r="I8" s="91">
        <f>+Carter!$D$211</f>
        <v>0</v>
      </c>
    </row>
    <row r="9" spans="2:13" ht="23.1" customHeight="1" thickBot="1">
      <c r="B9" s="68" t="s">
        <v>68</v>
      </c>
      <c r="C9" s="69" t="s">
        <v>112</v>
      </c>
      <c r="D9" s="73">
        <f>'Despesas Indireta'!$B$211</f>
        <v>19.962535646725495</v>
      </c>
      <c r="E9" s="72">
        <f>'Despesas Indireta'!$C$211</f>
        <v>235.40725998497047</v>
      </c>
      <c r="F9" s="71">
        <f>'Despesas Indireta'!$G$211</f>
        <v>13.302850862214832</v>
      </c>
      <c r="G9" s="71">
        <f>'Despesas Indireta'!$F$211</f>
        <v>6.3692911560712995</v>
      </c>
      <c r="H9" s="71">
        <f>'Despesas Indireta'!$E$211</f>
        <v>4.9598795065246337</v>
      </c>
      <c r="I9" s="91">
        <f>'Despesas Indireta'!$D$211</f>
        <v>0.87920888087247295</v>
      </c>
    </row>
    <row r="10" spans="2:13" ht="23.1" customHeight="1" thickBot="1">
      <c r="B10" s="68" t="s">
        <v>90</v>
      </c>
      <c r="C10" s="69" t="s">
        <v>91</v>
      </c>
      <c r="D10" s="73">
        <f>Motorista!$B$211</f>
        <v>4950.5708017505467</v>
      </c>
      <c r="E10" s="73">
        <f>Motorista!$C$211</f>
        <v>306.84468641922837</v>
      </c>
      <c r="F10" s="71">
        <f>+Motorista!$G$211</f>
        <v>5.0699999999999967</v>
      </c>
      <c r="G10" s="71">
        <f>+Motorista!$F$211</f>
        <v>0</v>
      </c>
      <c r="H10" s="71">
        <f>+Motorista!$E$211</f>
        <v>0</v>
      </c>
      <c r="I10" s="91">
        <f>+Motorista!$D$211</f>
        <v>0</v>
      </c>
    </row>
    <row r="11" spans="2:13" ht="23.1" customHeight="1" thickBot="1">
      <c r="B11" s="68" t="s">
        <v>105</v>
      </c>
      <c r="C11" s="69" t="s">
        <v>92</v>
      </c>
      <c r="D11" s="73">
        <f>'Cav. Mecânico'!$B$211</f>
        <v>484946</v>
      </c>
      <c r="E11" s="73">
        <f>'Cav. Mecânico'!$C$211</f>
        <v>217.97677052805696</v>
      </c>
      <c r="F11" s="71">
        <f>+'Cav. Mecânico'!$G$211</f>
        <v>32.08712728897072</v>
      </c>
      <c r="G11" s="71">
        <f>+'Cav. Mecânico'!$F$211</f>
        <v>10.417515761863228</v>
      </c>
      <c r="H11" s="71">
        <f>+'Cav. Mecânico'!$E$211</f>
        <v>4.7191486788802139</v>
      </c>
      <c r="I11" s="91">
        <f>+'Cav. Mecânico'!$D$211</f>
        <v>2.0509259259259283</v>
      </c>
    </row>
    <row r="12" spans="2:13" ht="23.1" customHeight="1" thickBot="1">
      <c r="B12" s="68" t="s">
        <v>70</v>
      </c>
      <c r="C12" s="69" t="s">
        <v>92</v>
      </c>
      <c r="D12" s="73">
        <f>Semirreboque!$B$212</f>
        <v>93596.666666666672</v>
      </c>
      <c r="E12" s="73">
        <f>Semirreboque!$C$212</f>
        <v>159.42575954307094</v>
      </c>
      <c r="F12" s="71">
        <f>Semirreboque!G212</f>
        <v>3.8847164157016723</v>
      </c>
      <c r="G12" s="71">
        <f>Semirreboque!F212</f>
        <v>1.2622164520898815</v>
      </c>
      <c r="H12" s="71">
        <f>Semirreboque!E212</f>
        <v>1.2622164520898815</v>
      </c>
      <c r="I12" s="91">
        <f>Semirreboque!D212</f>
        <v>0</v>
      </c>
    </row>
    <row r="13" spans="2:13" ht="23.1" customHeight="1" thickBot="1">
      <c r="B13" s="68" t="s">
        <v>71</v>
      </c>
      <c r="C13" s="69" t="s">
        <v>92</v>
      </c>
      <c r="D13" s="73">
        <f>Rodoar!$B$211</f>
        <v>1426.7508500000004</v>
      </c>
      <c r="E13" s="72">
        <f>Rodoar!$C$211</f>
        <v>135.6794524325764</v>
      </c>
      <c r="F13" s="71">
        <f>Rodoar!$G$211</f>
        <v>6.4818904395850696</v>
      </c>
      <c r="G13" s="71">
        <f>Rodoar!$F$211</f>
        <v>4.1500000000000092</v>
      </c>
      <c r="H13" s="71">
        <f>Rodoar!$E$211</f>
        <v>4.1500000000000092</v>
      </c>
      <c r="I13" s="91">
        <f>Rodoar!$D$211</f>
        <v>0</v>
      </c>
    </row>
    <row r="14" spans="2:13" ht="23.1" customHeight="1" thickBot="1">
      <c r="B14" s="68" t="s">
        <v>106</v>
      </c>
      <c r="C14" s="69" t="s">
        <v>92</v>
      </c>
      <c r="D14" s="73">
        <f>Pneu!$B$211</f>
        <v>2333.3540000000003</v>
      </c>
      <c r="E14" s="72">
        <f>Pneu!$C$211</f>
        <v>206.83928729722547</v>
      </c>
      <c r="F14" s="71">
        <f>Pneu!$G$211</f>
        <v>9.1371289643321418</v>
      </c>
      <c r="G14" s="71">
        <f>Pneu!$F$211</f>
        <v>8.4490009146817702</v>
      </c>
      <c r="H14" s="71">
        <f>Pneu!$E$211</f>
        <v>8.1204537682579172</v>
      </c>
      <c r="I14" s="91">
        <f>Pneu!$D$211</f>
        <v>1.8136042133005237</v>
      </c>
    </row>
    <row r="15" spans="2:13" ht="23.1" customHeight="1" thickBot="1">
      <c r="B15" s="68" t="s">
        <v>73</v>
      </c>
      <c r="C15" s="69" t="s">
        <v>92</v>
      </c>
      <c r="D15" s="73">
        <f>Recapagem!$B$211</f>
        <v>569.49601999999993</v>
      </c>
      <c r="E15" s="72">
        <f>Recapagem!$C$211</f>
        <v>205.19421344671034</v>
      </c>
      <c r="F15" s="71">
        <f>Recapagem!$G$211</f>
        <v>9.3537337984446189</v>
      </c>
      <c r="G15" s="71">
        <f>Recapagem!$F$211</f>
        <v>5.7199999999999696</v>
      </c>
      <c r="H15" s="71">
        <f>Recapagem!$E$211</f>
        <v>5.7199999999999696</v>
      </c>
      <c r="I15" s="91">
        <f>Recapagem!$D$211</f>
        <v>0</v>
      </c>
    </row>
    <row r="16" spans="2:13" ht="23.1" customHeight="1" thickBot="1">
      <c r="B16" s="68" t="s">
        <v>74</v>
      </c>
      <c r="C16" s="69" t="s">
        <v>92</v>
      </c>
      <c r="D16" s="73">
        <f>Lavagem!$B$211</f>
        <v>466.34692346450947</v>
      </c>
      <c r="E16" s="72">
        <f>Lavagem!$C$211</f>
        <v>291.46682716531842</v>
      </c>
      <c r="F16" s="71">
        <f>Lavagem!$G$211</f>
        <v>8.2876294085600044</v>
      </c>
      <c r="G16" s="71">
        <f>Lavagem!$F$211</f>
        <v>3.4026799999999913</v>
      </c>
      <c r="H16" s="71">
        <f>Lavagem!$E$211</f>
        <v>3.4026799999999913</v>
      </c>
      <c r="I16" s="91">
        <f>Lavagem!$D$211</f>
        <v>3.4026799999999913</v>
      </c>
    </row>
    <row r="17" spans="2:9" ht="23.1" customHeight="1" thickBot="1">
      <c r="B17" s="68" t="s">
        <v>75</v>
      </c>
      <c r="C17" s="69" t="s">
        <v>92</v>
      </c>
      <c r="D17" s="73">
        <f>Seguros!$B$211</f>
        <v>4417.8910669929564</v>
      </c>
      <c r="E17" s="72">
        <f>Seguros!$C$211</f>
        <v>220.90780781811688</v>
      </c>
      <c r="F17" s="71">
        <f>Seguros!$G$211</f>
        <v>27.529220182160309</v>
      </c>
      <c r="G17" s="71">
        <f>Seguros!$F$211</f>
        <v>9.1245419112963688</v>
      </c>
      <c r="H17" s="71">
        <f>Seguros!$E$211</f>
        <v>4.2563178533813417</v>
      </c>
      <c r="I17" s="91">
        <f>Seguros!$D$211</f>
        <v>1.7759785109958015</v>
      </c>
    </row>
    <row r="18" spans="2:9" ht="23.1" customHeight="1" thickBot="1">
      <c r="B18" s="74" t="s">
        <v>107</v>
      </c>
      <c r="C18" s="92" t="s">
        <v>93</v>
      </c>
      <c r="D18" s="133">
        <f>Manutenção!$B$211</f>
        <v>0.32714919514459273</v>
      </c>
      <c r="E18" s="93">
        <f>Manutenção!C$211</f>
        <v>203.83127423339113</v>
      </c>
      <c r="F18" s="94">
        <f>Manutenção!$G$211</f>
        <v>6.3210040275940571</v>
      </c>
      <c r="G18" s="94">
        <f>Manutenção!$F$211</f>
        <v>2.9406554359608705</v>
      </c>
      <c r="H18" s="94">
        <f>Manutenção!$E$211</f>
        <v>2.3980524621815658</v>
      </c>
      <c r="I18" s="95">
        <f>Manutenção!$D$211</f>
        <v>0.36006320219599264</v>
      </c>
    </row>
    <row r="19" spans="2:9" ht="15.75">
      <c r="B19" s="75" t="s">
        <v>94</v>
      </c>
      <c r="C19" s="76"/>
      <c r="D19" s="76"/>
      <c r="E19" s="76"/>
      <c r="F19" s="76"/>
      <c r="G19" s="76"/>
      <c r="H19" s="76"/>
      <c r="I19" s="76"/>
    </row>
    <row r="20" spans="2:9" ht="15.75" hidden="1">
      <c r="B20" s="77" t="s">
        <v>95</v>
      </c>
      <c r="C20" s="76"/>
      <c r="D20" s="76"/>
      <c r="E20" s="76"/>
      <c r="F20" s="76"/>
      <c r="G20" s="76"/>
      <c r="H20" s="76"/>
      <c r="I20" s="76"/>
    </row>
    <row r="21" spans="2:9" hidden="1">
      <c r="B21" s="78"/>
      <c r="C21" s="76"/>
      <c r="D21" s="76"/>
      <c r="E21" s="76"/>
      <c r="F21" s="76"/>
      <c r="G21" s="76"/>
      <c r="H21" s="76"/>
      <c r="I21" s="76"/>
    </row>
    <row r="22" spans="2:9" hidden="1">
      <c r="B22" s="79" t="s">
        <v>39</v>
      </c>
      <c r="C22" s="80" t="s">
        <v>78</v>
      </c>
      <c r="D22" s="80" t="s">
        <v>79</v>
      </c>
      <c r="E22" s="80" t="s">
        <v>96</v>
      </c>
      <c r="F22" s="80" t="s">
        <v>97</v>
      </c>
      <c r="G22" s="80" t="s">
        <v>98</v>
      </c>
      <c r="H22" s="80" t="s">
        <v>15</v>
      </c>
      <c r="I22" s="80" t="s">
        <v>99</v>
      </c>
    </row>
    <row r="23" spans="2:9" hidden="1">
      <c r="B23" s="81" t="s">
        <v>100</v>
      </c>
      <c r="C23" s="82" t="s">
        <v>92</v>
      </c>
      <c r="D23" s="83">
        <f>+'[1]MB12(13)18'!B73</f>
        <v>0</v>
      </c>
      <c r="E23" s="84">
        <f>+('[1]MB12(13)18'!C70)</f>
        <v>118.71487617182812</v>
      </c>
      <c r="F23" s="84">
        <f>+'[1]MB12(13)18'!$G$73</f>
        <v>-100</v>
      </c>
      <c r="G23" s="84">
        <f>+'[1]MB12(13)18'!$F$73</f>
        <v>-100</v>
      </c>
      <c r="H23" s="84">
        <f>+'[1]MB12(13)18'!$E$73</f>
        <v>-100</v>
      </c>
      <c r="I23" s="84" t="e">
        <f>+'[1]MB12(13)18'!$D$73</f>
        <v>#DIV/0!</v>
      </c>
    </row>
    <row r="24" spans="2:9" hidden="1">
      <c r="B24" s="81" t="s">
        <v>101</v>
      </c>
      <c r="C24" s="82" t="s">
        <v>92</v>
      </c>
      <c r="D24" s="84">
        <f>+[1]Pn900!B73</f>
        <v>391.67</v>
      </c>
      <c r="E24" s="84">
        <f>+([1]Pn900!C70)</f>
        <v>144.59180223165646</v>
      </c>
      <c r="F24" s="84">
        <f>[1]Pn900!$G$73</f>
        <v>25.134185303514389</v>
      </c>
      <c r="G24" s="84">
        <f>[1]Pn900!$F$73</f>
        <v>10.11555005763447</v>
      </c>
      <c r="H24" s="84">
        <f>+[1]Pn900!$E$73</f>
        <v>1.7694746141454054</v>
      </c>
      <c r="I24" s="84">
        <f>+[1]Pn900!$D$73</f>
        <v>2.2637075718015653</v>
      </c>
    </row>
    <row r="25" spans="2:9" hidden="1">
      <c r="B25" s="81" t="s">
        <v>102</v>
      </c>
      <c r="C25" s="82" t="s">
        <v>92</v>
      </c>
      <c r="D25" s="84">
        <f>+[1]camara900!B73</f>
        <v>29.22</v>
      </c>
      <c r="E25" s="84">
        <f>+([1]camara900!C70)</f>
        <v>118.40796019900498</v>
      </c>
      <c r="F25" s="84">
        <f>+[1]camara900!$G$73</f>
        <v>19.314005716619032</v>
      </c>
      <c r="G25" s="84">
        <f>+[1]camara900!$F$73</f>
        <v>6.4093226511289014</v>
      </c>
      <c r="H25" s="84">
        <f>+[1]camara900!$E$72</f>
        <v>-0.21008403361344463</v>
      </c>
      <c r="I25" s="84">
        <f>+[1]camara900!$D$73</f>
        <v>2.5263157894736876</v>
      </c>
    </row>
    <row r="26" spans="2:9" hidden="1">
      <c r="B26" s="81" t="s">
        <v>103</v>
      </c>
      <c r="C26" s="82" t="s">
        <v>92</v>
      </c>
      <c r="D26" s="84">
        <f>+[1]Prot900!B73</f>
        <v>18.64</v>
      </c>
      <c r="E26" s="84">
        <f>+([1]Prot900!C70)</f>
        <v>111.45833333333333</v>
      </c>
      <c r="F26" s="84">
        <f>+[1]Prot900!$G$73</f>
        <v>28.109965635738821</v>
      </c>
      <c r="G26" s="84">
        <f>+[1]Prot900!$F$73</f>
        <v>19.334186939820764</v>
      </c>
      <c r="H26" s="84">
        <f>+[1]Prot900!$E$73</f>
        <v>16.137071651090352</v>
      </c>
      <c r="I26" s="84">
        <f>+[1]Prot900!$D$73</f>
        <v>24.84929671801741</v>
      </c>
    </row>
    <row r="27" spans="2:9" hidden="1">
      <c r="B27" s="81" t="s">
        <v>104</v>
      </c>
      <c r="C27" s="82" t="s">
        <v>92</v>
      </c>
      <c r="D27" s="84">
        <f>+[1]Rec900!B73</f>
        <v>119.93</v>
      </c>
      <c r="E27" s="84">
        <f>+([1]Rec900!C70)</f>
        <v>130.75394506136763</v>
      </c>
      <c r="F27" s="84">
        <f>+[1]Rec900!$G$73</f>
        <v>32.066952978746841</v>
      </c>
      <c r="G27" s="84">
        <f>+[1]Rec900!$F$73</f>
        <v>6.1327433628318717</v>
      </c>
      <c r="H27" s="84">
        <f>+[1]Rec900!$E$73</f>
        <v>7.2143751117468291</v>
      </c>
      <c r="I27" s="84">
        <f>+[1]Rec900!$D$73</f>
        <v>1.2067510548523286</v>
      </c>
    </row>
    <row r="28" spans="2:9" hidden="1">
      <c r="C28" s="76"/>
      <c r="D28" s="76"/>
      <c r="E28" s="76"/>
      <c r="F28" s="76"/>
      <c r="G28" s="76"/>
      <c r="H28" s="76"/>
      <c r="I28" s="76"/>
    </row>
    <row r="29" spans="2:9" s="87" customFormat="1" ht="15.75" hidden="1">
      <c r="B29" s="85"/>
      <c r="C29" s="86"/>
      <c r="D29" s="86"/>
      <c r="E29" s="86"/>
      <c r="F29" s="86"/>
      <c r="G29" s="86"/>
      <c r="H29" s="86"/>
      <c r="I29" s="86"/>
    </row>
    <row r="30" spans="2:9" s="87" customFormat="1" ht="15.75" hidden="1">
      <c r="B30" s="88"/>
      <c r="C30" s="86"/>
      <c r="D30" s="86"/>
      <c r="E30" s="86"/>
      <c r="F30" s="86"/>
      <c r="G30" s="86"/>
      <c r="H30" s="86"/>
      <c r="I30" s="86"/>
    </row>
    <row r="31" spans="2:9" s="87" customFormat="1" ht="15.75">
      <c r="B31" s="89"/>
      <c r="C31" s="86"/>
      <c r="D31" s="86"/>
      <c r="E31" s="86"/>
      <c r="F31" s="86"/>
      <c r="G31" s="86"/>
      <c r="H31" s="86"/>
      <c r="I31" s="86"/>
    </row>
    <row r="32" spans="2:9" s="87" customFormat="1" ht="15.75">
      <c r="B32" s="89"/>
      <c r="C32" s="86"/>
      <c r="D32" s="86"/>
      <c r="E32" s="86"/>
      <c r="F32" s="86"/>
      <c r="G32" s="86"/>
      <c r="H32" s="86"/>
      <c r="I32" s="86"/>
    </row>
    <row r="33" spans="3:9">
      <c r="C33" s="76"/>
      <c r="D33" s="76"/>
      <c r="E33" s="76"/>
      <c r="F33" s="76"/>
      <c r="G33" s="76"/>
      <c r="H33" s="76"/>
      <c r="I33" s="76"/>
    </row>
    <row r="34" spans="3:9">
      <c r="C34" s="76"/>
      <c r="D34" s="76"/>
      <c r="E34" s="76"/>
      <c r="F34" s="76"/>
      <c r="G34" s="76"/>
      <c r="H34" s="76"/>
      <c r="I34" s="76"/>
    </row>
    <row r="35" spans="3:9">
      <c r="C35" s="76"/>
      <c r="D35" s="76"/>
      <c r="E35" s="76"/>
      <c r="F35" s="76"/>
      <c r="G35" s="76"/>
      <c r="H35" s="76"/>
      <c r="I35" s="76"/>
    </row>
    <row r="36" spans="3:9">
      <c r="C36" s="76"/>
      <c r="D36" s="76"/>
      <c r="E36" s="76"/>
      <c r="F36" s="76"/>
      <c r="G36" s="76"/>
      <c r="H36" s="76"/>
      <c r="I36" s="76"/>
    </row>
    <row r="37" spans="3:9">
      <c r="C37" s="76"/>
      <c r="D37" s="76"/>
      <c r="E37" s="76"/>
      <c r="F37" s="76"/>
      <c r="G37" s="76"/>
      <c r="H37" s="76"/>
      <c r="I37" s="76"/>
    </row>
    <row r="38" spans="3:9">
      <c r="C38" s="76"/>
      <c r="D38" s="76"/>
      <c r="E38" s="76"/>
      <c r="F38" s="76"/>
      <c r="G38" s="76"/>
      <c r="H38" s="76"/>
      <c r="I38" s="76"/>
    </row>
    <row r="39" spans="3:9">
      <c r="C39" s="76"/>
      <c r="D39" s="76"/>
      <c r="E39" s="76"/>
      <c r="F39" s="76"/>
      <c r="G39" s="76"/>
      <c r="H39" s="76"/>
      <c r="I39" s="76"/>
    </row>
    <row r="40" spans="3:9">
      <c r="C40" s="76"/>
      <c r="D40" s="76"/>
      <c r="E40" s="76"/>
      <c r="F40" s="76"/>
      <c r="G40" s="76"/>
      <c r="H40" s="76"/>
      <c r="I40" s="76"/>
    </row>
    <row r="41" spans="3:9">
      <c r="C41" s="76"/>
      <c r="D41" s="76"/>
      <c r="E41" s="76"/>
      <c r="F41" s="76"/>
      <c r="G41" s="76"/>
      <c r="H41" s="76"/>
      <c r="I41" s="76"/>
    </row>
    <row r="42" spans="3:9">
      <c r="C42" s="76"/>
      <c r="D42" s="76"/>
      <c r="E42" s="76"/>
      <c r="F42" s="76"/>
      <c r="G42" s="76"/>
      <c r="H42" s="76"/>
      <c r="I42" s="76"/>
    </row>
    <row r="43" spans="3:9">
      <c r="C43" s="76"/>
      <c r="D43" s="76"/>
      <c r="E43" s="76"/>
      <c r="F43" s="76"/>
      <c r="G43" s="76"/>
      <c r="H43" s="76"/>
      <c r="I43" s="76"/>
    </row>
    <row r="44" spans="3:9">
      <c r="C44" s="76"/>
      <c r="D44" s="76"/>
      <c r="E44" s="76"/>
      <c r="F44" s="76"/>
      <c r="G44" s="76"/>
      <c r="H44" s="76"/>
      <c r="I44" s="76"/>
    </row>
    <row r="45" spans="3:9">
      <c r="C45" s="76"/>
      <c r="D45" s="76"/>
      <c r="E45" s="76"/>
      <c r="F45" s="76"/>
      <c r="G45" s="76"/>
      <c r="H45" s="76"/>
      <c r="I45" s="76"/>
    </row>
    <row r="46" spans="3:9">
      <c r="C46" s="76"/>
      <c r="D46" s="76"/>
      <c r="E46" s="76"/>
      <c r="F46" s="76"/>
      <c r="G46" s="76"/>
      <c r="H46" s="76"/>
      <c r="I46" s="76"/>
    </row>
    <row r="47" spans="3:9">
      <c r="C47" s="76"/>
      <c r="D47" s="76"/>
      <c r="E47" s="76"/>
      <c r="F47" s="76"/>
      <c r="G47" s="76"/>
      <c r="H47" s="76"/>
      <c r="I47" s="76"/>
    </row>
    <row r="48" spans="3:9">
      <c r="C48" s="76"/>
      <c r="D48" s="76"/>
      <c r="E48" s="76"/>
      <c r="F48" s="76"/>
      <c r="G48" s="76"/>
      <c r="H48" s="76"/>
      <c r="I48" s="76"/>
    </row>
    <row r="49" spans="3:9">
      <c r="C49" s="76"/>
      <c r="D49" s="76"/>
      <c r="E49" s="76"/>
      <c r="F49" s="76"/>
      <c r="G49" s="76"/>
      <c r="H49" s="76"/>
      <c r="I49" s="76"/>
    </row>
    <row r="50" spans="3:9">
      <c r="C50" s="76"/>
      <c r="D50" s="76"/>
      <c r="E50" s="76"/>
      <c r="F50" s="76"/>
      <c r="G50" s="76"/>
      <c r="H50" s="76"/>
      <c r="I50" s="76"/>
    </row>
  </sheetData>
  <mergeCells count="2">
    <mergeCell ref="C2:G2"/>
    <mergeCell ref="H2:I2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92" orientation="landscape" r:id="rId1"/>
  <headerFooter>
    <oddFooter>&amp;L&amp;"Calibri,Regular"&amp;12&amp;K184782&amp;F&amp;C&amp;"Calibri,Regular"&amp;12&amp;K184782&amp;A&amp;R&amp;"Calibri,Regular"&amp;12&amp;K184782&amp;P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>
    <pageSetUpPr fitToPage="1"/>
  </sheetPr>
  <dimension ref="A1:J510"/>
  <sheetViews>
    <sheetView showGridLines="0" workbookViewId="0">
      <pane ySplit="2415" topLeftCell="A200" activePane="bottomLeft"/>
      <selection activeCell="A174" sqref="A174"/>
      <selection pane="bottomLeft" activeCell="H213" sqref="H213"/>
    </sheetView>
  </sheetViews>
  <sheetFormatPr defaultRowHeight="12.75"/>
  <cols>
    <col min="1" max="1" width="13.42578125" style="67" customWidth="1"/>
    <col min="2" max="2" width="13.5703125" style="67" customWidth="1"/>
    <col min="3" max="3" width="10.140625" style="67" customWidth="1"/>
    <col min="4" max="4" width="9.140625" style="67" customWidth="1"/>
    <col min="5" max="5" width="9.140625" style="67"/>
    <col min="6" max="6" width="13.5703125" style="67" bestFit="1" customWidth="1"/>
    <col min="7" max="7" width="12.85546875" style="67" bestFit="1" customWidth="1"/>
    <col min="8" max="8" width="15.7109375" style="67" customWidth="1"/>
    <col min="9" max="16384" width="9.140625" style="67"/>
  </cols>
  <sheetData>
    <row r="1" spans="1:8" ht="16.5" customHeight="1">
      <c r="B1" s="101"/>
      <c r="C1" s="101"/>
      <c r="D1" s="294" t="s">
        <v>251</v>
      </c>
      <c r="E1" s="294"/>
      <c r="F1" s="294"/>
      <c r="G1" s="294"/>
      <c r="H1" s="294"/>
    </row>
    <row r="2" spans="1:8" ht="17.25" customHeight="1">
      <c r="A2" s="101"/>
      <c r="B2" s="101"/>
      <c r="C2" s="101"/>
      <c r="D2" s="294"/>
      <c r="E2" s="294"/>
      <c r="F2" s="294"/>
      <c r="G2" s="294"/>
      <c r="H2" s="294"/>
    </row>
    <row r="3" spans="1:8" ht="21" customHeight="1" thickBot="1">
      <c r="A3" s="101"/>
      <c r="B3" s="101"/>
      <c r="C3" s="101"/>
      <c r="D3" s="306"/>
      <c r="E3" s="306"/>
      <c r="F3" s="306"/>
      <c r="G3" s="306"/>
      <c r="H3" s="306"/>
    </row>
    <row r="4" spans="1:8" s="62" customFormat="1" ht="19.5" thickBot="1">
      <c r="A4" s="307" t="s">
        <v>70</v>
      </c>
      <c r="B4" s="308"/>
      <c r="C4" s="309"/>
      <c r="D4" s="310" t="s">
        <v>61</v>
      </c>
      <c r="E4" s="311"/>
      <c r="F4" s="311"/>
      <c r="G4" s="311" t="s">
        <v>6</v>
      </c>
      <c r="H4" s="312"/>
    </row>
    <row r="5" spans="1:8" s="62" customFormat="1" ht="18" customHeight="1" thickBot="1">
      <c r="A5" s="313" t="s">
        <v>56</v>
      </c>
      <c r="B5" s="314"/>
      <c r="C5" s="315"/>
      <c r="D5" s="298" t="s">
        <v>57</v>
      </c>
      <c r="E5" s="299"/>
      <c r="F5" s="299"/>
      <c r="G5" s="300"/>
      <c r="H5" s="316" t="s">
        <v>58</v>
      </c>
    </row>
    <row r="6" spans="1:8" s="62" customFormat="1" ht="15.75" customHeight="1" thickBot="1">
      <c r="A6" s="126" t="s">
        <v>109</v>
      </c>
      <c r="B6" s="127" t="s">
        <v>111</v>
      </c>
      <c r="C6" s="127" t="s">
        <v>4</v>
      </c>
      <c r="D6" s="127" t="s">
        <v>14</v>
      </c>
      <c r="E6" s="127" t="s">
        <v>15</v>
      </c>
      <c r="F6" s="127" t="s">
        <v>16</v>
      </c>
      <c r="G6" s="127" t="s">
        <v>17</v>
      </c>
      <c r="H6" s="317"/>
    </row>
    <row r="7" spans="1:8" s="102" customFormat="1" ht="16.5" customHeight="1" thickBot="1">
      <c r="A7" s="140" t="s">
        <v>67</v>
      </c>
      <c r="B7" s="141"/>
      <c r="C7" s="141"/>
      <c r="D7" s="141"/>
      <c r="E7" s="141"/>
      <c r="F7" s="141"/>
      <c r="G7" s="141"/>
      <c r="H7" s="142"/>
    </row>
    <row r="8" spans="1:8" ht="15" hidden="1">
      <c r="A8" s="228" t="s">
        <v>113</v>
      </c>
      <c r="B8" s="229">
        <v>39840</v>
      </c>
      <c r="C8" s="204">
        <f>100*B8/B$8</f>
        <v>100</v>
      </c>
      <c r="D8" s="204"/>
      <c r="E8" s="204"/>
      <c r="F8" s="204"/>
      <c r="G8" s="205"/>
      <c r="H8" s="206">
        <f>+B$212/B8*F$53</f>
        <v>1.594257595430709</v>
      </c>
    </row>
    <row r="9" spans="1:8" ht="15" hidden="1">
      <c r="A9" s="230" t="s">
        <v>114</v>
      </c>
      <c r="B9" s="231">
        <v>40946</v>
      </c>
      <c r="C9" s="207">
        <f t="shared" ref="C9:C52" si="0">100*B9/B$8</f>
        <v>102.77610441767068</v>
      </c>
      <c r="D9" s="207">
        <f t="shared" ref="D9:D52" si="1">100*(C9/C8-1)</f>
        <v>2.7761044176706884</v>
      </c>
      <c r="E9" s="207"/>
      <c r="F9" s="207"/>
      <c r="G9" s="208"/>
      <c r="H9" s="209">
        <f>+B$212/B9*F$53</f>
        <v>1.5511948078434878</v>
      </c>
    </row>
    <row r="10" spans="1:8" ht="15" hidden="1">
      <c r="A10" s="230" t="s">
        <v>115</v>
      </c>
      <c r="B10" s="231">
        <v>43380</v>
      </c>
      <c r="C10" s="207">
        <f t="shared" si="0"/>
        <v>108.8855421686747</v>
      </c>
      <c r="D10" s="207">
        <f t="shared" si="1"/>
        <v>5.9444145948322147</v>
      </c>
      <c r="E10" s="207"/>
      <c r="F10" s="207"/>
      <c r="G10" s="208"/>
      <c r="H10" s="209">
        <f>+B$212/B10*F$53</f>
        <v>1.4641591194550359</v>
      </c>
    </row>
    <row r="11" spans="1:8" ht="15" hidden="1">
      <c r="A11" s="230" t="s">
        <v>116</v>
      </c>
      <c r="B11" s="231">
        <v>41440</v>
      </c>
      <c r="C11" s="207">
        <f t="shared" si="0"/>
        <v>104.01606425702811</v>
      </c>
      <c r="D11" s="207">
        <f t="shared" si="1"/>
        <v>-4.4721069617335241</v>
      </c>
      <c r="E11" s="207">
        <f t="shared" ref="E11:E22" si="2">100*(C11/C$10-1)</f>
        <v>-4.4721069617335241</v>
      </c>
      <c r="F11" s="207"/>
      <c r="G11" s="208"/>
      <c r="H11" s="209">
        <f>+B$212/B11*F$53</f>
        <v>1.5327032481167819</v>
      </c>
    </row>
    <row r="12" spans="1:8" ht="15" hidden="1">
      <c r="A12" s="230" t="s">
        <v>117</v>
      </c>
      <c r="B12" s="231">
        <v>42620</v>
      </c>
      <c r="C12" s="207">
        <f t="shared" si="0"/>
        <v>106.97791164658635</v>
      </c>
      <c r="D12" s="207">
        <f t="shared" si="1"/>
        <v>2.8474903474903668</v>
      </c>
      <c r="E12" s="207">
        <f t="shared" si="2"/>
        <v>-1.7519594283079809</v>
      </c>
      <c r="F12" s="207"/>
      <c r="G12" s="208"/>
      <c r="H12" s="209">
        <f>+B$212/B12*F$53</f>
        <v>1.4902680103697667</v>
      </c>
    </row>
    <row r="13" spans="1:8" ht="15" hidden="1">
      <c r="A13" s="230" t="s">
        <v>118</v>
      </c>
      <c r="B13" s="231">
        <v>43544</v>
      </c>
      <c r="C13" s="207">
        <f t="shared" si="0"/>
        <v>109.29718875502007</v>
      </c>
      <c r="D13" s="207">
        <f t="shared" si="1"/>
        <v>2.1679962458939439</v>
      </c>
      <c r="E13" s="207">
        <f t="shared" si="2"/>
        <v>0.37805440295066717</v>
      </c>
      <c r="F13" s="207"/>
      <c r="G13" s="208"/>
      <c r="H13" s="209">
        <f>+B$212/B13*F$53</f>
        <v>1.4586446491355742</v>
      </c>
    </row>
    <row r="14" spans="1:8" ht="15" hidden="1">
      <c r="A14" s="230" t="s">
        <v>119</v>
      </c>
      <c r="B14" s="231">
        <v>44360</v>
      </c>
      <c r="C14" s="207">
        <f t="shared" si="0"/>
        <v>111.34538152610442</v>
      </c>
      <c r="D14" s="207">
        <f t="shared" si="1"/>
        <v>1.8739665625574276</v>
      </c>
      <c r="E14" s="207">
        <f t="shared" si="2"/>
        <v>2.2591055786076453</v>
      </c>
      <c r="F14" s="207"/>
      <c r="G14" s="208"/>
      <c r="H14" s="209">
        <f>+B$212/B14*F$53</f>
        <v>1.4318129531550825</v>
      </c>
    </row>
    <row r="15" spans="1:8" ht="15" hidden="1">
      <c r="A15" s="230" t="s">
        <v>120</v>
      </c>
      <c r="B15" s="231">
        <v>44570</v>
      </c>
      <c r="C15" s="207">
        <f t="shared" si="0"/>
        <v>111.87248995983936</v>
      </c>
      <c r="D15" s="207">
        <f t="shared" si="1"/>
        <v>0.47339945897204583</v>
      </c>
      <c r="E15" s="207">
        <f t="shared" si="2"/>
        <v>2.7431996311664264</v>
      </c>
      <c r="F15" s="207"/>
      <c r="G15" s="208"/>
      <c r="H15" s="209">
        <f>+B$212/B15*F$53</f>
        <v>1.4250666951303446</v>
      </c>
    </row>
    <row r="16" spans="1:8" ht="15" hidden="1">
      <c r="A16" s="230" t="s">
        <v>121</v>
      </c>
      <c r="B16" s="231">
        <v>46100</v>
      </c>
      <c r="C16" s="207">
        <f t="shared" si="0"/>
        <v>115.71285140562249</v>
      </c>
      <c r="D16" s="207">
        <f t="shared" si="1"/>
        <v>3.4328023334081248</v>
      </c>
      <c r="E16" s="207">
        <f t="shared" si="2"/>
        <v>6.2701705855232825</v>
      </c>
      <c r="F16" s="210"/>
      <c r="G16" s="211"/>
      <c r="H16" s="209">
        <f>+B$212/B16*F$53</f>
        <v>1.3777705553570379</v>
      </c>
    </row>
    <row r="17" spans="1:8" ht="15" hidden="1">
      <c r="A17" s="230" t="s">
        <v>122</v>
      </c>
      <c r="B17" s="231">
        <v>47994</v>
      </c>
      <c r="C17" s="207">
        <f t="shared" si="0"/>
        <v>120.46686746987952</v>
      </c>
      <c r="D17" s="207">
        <f t="shared" si="1"/>
        <v>4.1084598698481578</v>
      </c>
      <c r="E17" s="207">
        <f t="shared" si="2"/>
        <v>10.63623789764867</v>
      </c>
      <c r="F17" s="210"/>
      <c r="G17" s="211"/>
      <c r="H17" s="209">
        <f>+B$212/B17*F$53</f>
        <v>1.3233992291111274</v>
      </c>
    </row>
    <row r="18" spans="1:8" ht="15" hidden="1">
      <c r="A18" s="230" t="s">
        <v>123</v>
      </c>
      <c r="B18" s="231">
        <v>48020</v>
      </c>
      <c r="C18" s="207">
        <f t="shared" si="0"/>
        <v>120.53212851405623</v>
      </c>
      <c r="D18" s="207">
        <f t="shared" si="1"/>
        <v>5.4173438346460934E-2</v>
      </c>
      <c r="E18" s="207">
        <f t="shared" si="2"/>
        <v>10.696173351775018</v>
      </c>
      <c r="F18" s="210"/>
      <c r="G18" s="211"/>
      <c r="H18" s="209">
        <f>+B$212/B18*F$53</f>
        <v>1.3226826864214796</v>
      </c>
    </row>
    <row r="19" spans="1:8" ht="15" hidden="1">
      <c r="A19" s="230" t="s">
        <v>124</v>
      </c>
      <c r="B19" s="231">
        <v>49550</v>
      </c>
      <c r="C19" s="207">
        <f t="shared" si="0"/>
        <v>124.37248995983936</v>
      </c>
      <c r="D19" s="207">
        <f t="shared" si="1"/>
        <v>3.186172428154932</v>
      </c>
      <c r="E19" s="207">
        <f t="shared" si="2"/>
        <v>14.223144306131852</v>
      </c>
      <c r="F19" s="210"/>
      <c r="G19" s="211"/>
      <c r="H19" s="209">
        <f>+B$212/B19*F$53</f>
        <v>1.2818410212302613</v>
      </c>
    </row>
    <row r="20" spans="1:8" ht="15" hidden="1">
      <c r="A20" s="230" t="s">
        <v>125</v>
      </c>
      <c r="B20" s="231">
        <v>50800</v>
      </c>
      <c r="C20" s="207">
        <f t="shared" si="0"/>
        <v>127.51004016064257</v>
      </c>
      <c r="D20" s="207">
        <f t="shared" si="1"/>
        <v>2.5227043390514625</v>
      </c>
      <c r="E20" s="207">
        <f t="shared" si="2"/>
        <v>17.104656523743667</v>
      </c>
      <c r="F20" s="210">
        <f t="shared" ref="F20:F52" si="3">(100*(C20/C8-1))</f>
        <v>27.510040160642578</v>
      </c>
      <c r="G20" s="211"/>
      <c r="H20" s="209">
        <f>+B$212/B20*F$53</f>
        <v>1.2502996575188867</v>
      </c>
    </row>
    <row r="21" spans="1:8" ht="15" hidden="1">
      <c r="A21" s="230" t="s">
        <v>126</v>
      </c>
      <c r="B21" s="231">
        <v>52400</v>
      </c>
      <c r="C21" s="207">
        <f t="shared" si="0"/>
        <v>131.52610441767069</v>
      </c>
      <c r="D21" s="207">
        <f t="shared" si="1"/>
        <v>3.149606299212615</v>
      </c>
      <c r="E21" s="207">
        <f t="shared" si="2"/>
        <v>20.792992162286783</v>
      </c>
      <c r="F21" s="210">
        <f t="shared" si="3"/>
        <v>27.973428417916303</v>
      </c>
      <c r="G21" s="211"/>
      <c r="H21" s="209">
        <f>+B$212/B21*F$53</f>
        <v>1.2121225687396842</v>
      </c>
    </row>
    <row r="22" spans="1:8" ht="15" hidden="1">
      <c r="A22" s="230" t="s">
        <v>127</v>
      </c>
      <c r="B22" s="231">
        <v>53600</v>
      </c>
      <c r="C22" s="207">
        <f t="shared" si="0"/>
        <v>134.53815261044176</v>
      </c>
      <c r="D22" s="207">
        <f t="shared" si="1"/>
        <v>2.2900763358778553</v>
      </c>
      <c r="E22" s="207">
        <f t="shared" si="2"/>
        <v>23.559243891194082</v>
      </c>
      <c r="F22" s="210">
        <f t="shared" si="3"/>
        <v>23.559243891194082</v>
      </c>
      <c r="G22" s="211"/>
      <c r="H22" s="209">
        <f>+B$212/B22*F$53</f>
        <v>1.1849854963052138</v>
      </c>
    </row>
    <row r="23" spans="1:8" ht="15" hidden="1">
      <c r="A23" s="230" t="s">
        <v>128</v>
      </c>
      <c r="B23" s="231">
        <v>53814.29</v>
      </c>
      <c r="C23" s="207">
        <f t="shared" si="0"/>
        <v>135.07602911646586</v>
      </c>
      <c r="D23" s="207">
        <f t="shared" si="1"/>
        <v>0.39979477611939984</v>
      </c>
      <c r="E23" s="207">
        <f t="shared" ref="E23:E34" si="4">100*(C23/C$22-1)</f>
        <v>0.39979477611939984</v>
      </c>
      <c r="F23" s="210">
        <f t="shared" si="3"/>
        <v>29.860738416988418</v>
      </c>
      <c r="G23" s="211"/>
      <c r="H23" s="209">
        <f>+B$212/B23*F$53</f>
        <v>1.1802668510902856</v>
      </c>
    </row>
    <row r="24" spans="1:8" ht="15" hidden="1">
      <c r="A24" s="230" t="s">
        <v>129</v>
      </c>
      <c r="B24" s="231">
        <v>55428.800000000003</v>
      </c>
      <c r="C24" s="207">
        <f t="shared" si="0"/>
        <v>139.1285140562249</v>
      </c>
      <c r="D24" s="207">
        <f t="shared" si="1"/>
        <v>3.0001510751140659</v>
      </c>
      <c r="E24" s="207">
        <f t="shared" si="4"/>
        <v>3.4119402985074654</v>
      </c>
      <c r="F24" s="210">
        <f t="shared" si="3"/>
        <v>30.053496011262304</v>
      </c>
      <c r="G24" s="211"/>
      <c r="H24" s="209">
        <f>+B$212/B24*F$53</f>
        <v>1.1458884659592026</v>
      </c>
    </row>
    <row r="25" spans="1:8" ht="15" hidden="1">
      <c r="A25" s="230" t="s">
        <v>130</v>
      </c>
      <c r="B25" s="231">
        <v>54450</v>
      </c>
      <c r="C25" s="207">
        <f t="shared" si="0"/>
        <v>136.67168674698794</v>
      </c>
      <c r="D25" s="207">
        <f t="shared" si="1"/>
        <v>-1.765869006725751</v>
      </c>
      <c r="E25" s="207">
        <f t="shared" si="4"/>
        <v>1.585820895522394</v>
      </c>
      <c r="F25" s="210">
        <f t="shared" si="3"/>
        <v>25.04593055300386</v>
      </c>
      <c r="G25" s="211"/>
      <c r="H25" s="209">
        <f>+B$212/B25*F$53</f>
        <v>1.1664871001278136</v>
      </c>
    </row>
    <row r="26" spans="1:8" ht="15" hidden="1">
      <c r="A26" s="230" t="s">
        <v>131</v>
      </c>
      <c r="B26" s="231">
        <v>53040</v>
      </c>
      <c r="C26" s="207">
        <f t="shared" si="0"/>
        <v>133.13253012048193</v>
      </c>
      <c r="D26" s="207">
        <f t="shared" si="1"/>
        <v>-2.5895316804407598</v>
      </c>
      <c r="E26" s="207">
        <f t="shared" si="4"/>
        <v>-1.0447761194029792</v>
      </c>
      <c r="F26" s="210">
        <f t="shared" si="3"/>
        <v>19.567177637511278</v>
      </c>
      <c r="G26" s="211"/>
      <c r="H26" s="209">
        <f>+B$212/B26*F$53</f>
        <v>1.1974966553913924</v>
      </c>
    </row>
    <row r="27" spans="1:8" ht="15" hidden="1">
      <c r="A27" s="230" t="s">
        <v>132</v>
      </c>
      <c r="B27" s="231">
        <v>56675</v>
      </c>
      <c r="C27" s="207">
        <f t="shared" si="0"/>
        <v>142.25652610441767</v>
      </c>
      <c r="D27" s="207">
        <f t="shared" si="1"/>
        <v>6.8533182503770718</v>
      </c>
      <c r="E27" s="207">
        <f t="shared" si="4"/>
        <v>5.7369402985074647</v>
      </c>
      <c r="F27" s="210">
        <f t="shared" si="3"/>
        <v>27.159524343728968</v>
      </c>
      <c r="G27" s="211"/>
      <c r="H27" s="209">
        <f>+B$212/B27*F$53</f>
        <v>1.1206920617901976</v>
      </c>
    </row>
    <row r="28" spans="1:8" ht="15" hidden="1">
      <c r="A28" s="230" t="s">
        <v>133</v>
      </c>
      <c r="B28" s="231">
        <v>55305.84</v>
      </c>
      <c r="C28" s="207">
        <f t="shared" si="0"/>
        <v>138.8198795180723</v>
      </c>
      <c r="D28" s="207">
        <f t="shared" si="1"/>
        <v>-2.4158094397882635</v>
      </c>
      <c r="E28" s="207">
        <f t="shared" si="4"/>
        <v>3.1825373134328538</v>
      </c>
      <c r="F28" s="210">
        <f t="shared" si="3"/>
        <v>19.969284164859012</v>
      </c>
      <c r="G28" s="211"/>
      <c r="H28" s="209">
        <f>+B$212/B28*F$53</f>
        <v>1.1484360892440917</v>
      </c>
    </row>
    <row r="29" spans="1:8" ht="15" hidden="1">
      <c r="A29" s="230" t="s">
        <v>134</v>
      </c>
      <c r="B29" s="231">
        <v>58133.33</v>
      </c>
      <c r="C29" s="207">
        <f t="shared" si="0"/>
        <v>145.91699297188754</v>
      </c>
      <c r="D29" s="207">
        <f t="shared" si="1"/>
        <v>5.1124619027574481</v>
      </c>
      <c r="E29" s="207">
        <f t="shared" si="4"/>
        <v>8.4577052238806072</v>
      </c>
      <c r="F29" s="210">
        <f t="shared" si="3"/>
        <v>21.126244947285077</v>
      </c>
      <c r="G29" s="211"/>
      <c r="H29" s="209">
        <f>+B$212/B29*F$53</f>
        <v>1.092578433094396</v>
      </c>
    </row>
    <row r="30" spans="1:8" ht="15" hidden="1">
      <c r="A30" s="230" t="s">
        <v>135</v>
      </c>
      <c r="B30" s="231">
        <v>54642.22</v>
      </c>
      <c r="C30" s="207">
        <f t="shared" si="0"/>
        <v>137.15416666666667</v>
      </c>
      <c r="D30" s="207">
        <f t="shared" si="1"/>
        <v>-6.0053501149856636</v>
      </c>
      <c r="E30" s="207">
        <f t="shared" si="4"/>
        <v>1.944440298507466</v>
      </c>
      <c r="F30" s="210">
        <f t="shared" si="3"/>
        <v>13.790545605997506</v>
      </c>
      <c r="G30" s="211"/>
      <c r="H30" s="209">
        <f>+B$212/B30*F$53</f>
        <v>1.1623836403784371</v>
      </c>
    </row>
    <row r="31" spans="1:8" ht="15" hidden="1">
      <c r="A31" s="230" t="s">
        <v>136</v>
      </c>
      <c r="B31" s="231">
        <v>52066.67</v>
      </c>
      <c r="C31" s="207">
        <f t="shared" si="0"/>
        <v>130.6894327309237</v>
      </c>
      <c r="D31" s="207">
        <f t="shared" si="1"/>
        <v>-4.7134797963918729</v>
      </c>
      <c r="E31" s="207">
        <f t="shared" si="4"/>
        <v>-2.8606902985074512</v>
      </c>
      <c r="F31" s="210">
        <f t="shared" si="3"/>
        <v>5.0790514631685157</v>
      </c>
      <c r="G31" s="211"/>
      <c r="H31" s="209">
        <f>+B$212/B31*F$53</f>
        <v>1.2198825583037951</v>
      </c>
    </row>
    <row r="32" spans="1:8" ht="15" hidden="1">
      <c r="A32" s="230" t="s">
        <v>137</v>
      </c>
      <c r="B32" s="231">
        <v>48444.44</v>
      </c>
      <c r="C32" s="207">
        <f t="shared" si="0"/>
        <v>121.59748995983935</v>
      </c>
      <c r="D32" s="207">
        <f t="shared" si="1"/>
        <v>-6.9569073651147733</v>
      </c>
      <c r="E32" s="207">
        <f t="shared" si="4"/>
        <v>-9.6185820895522411</v>
      </c>
      <c r="F32" s="210">
        <f t="shared" si="3"/>
        <v>-4.6369291338582812</v>
      </c>
      <c r="G32" s="211">
        <f t="shared" ref="G32:G52" si="5">100*(C32/C8-1)</f>
        <v>21.597489959839343</v>
      </c>
      <c r="H32" s="209">
        <f>+B$212/B32*F$53</f>
        <v>1.3110941648197285</v>
      </c>
    </row>
    <row r="33" spans="1:8" ht="15" hidden="1">
      <c r="A33" s="230" t="s">
        <v>138</v>
      </c>
      <c r="B33" s="231">
        <v>47394.44</v>
      </c>
      <c r="C33" s="207">
        <f t="shared" si="0"/>
        <v>118.96194779116466</v>
      </c>
      <c r="D33" s="207">
        <f t="shared" si="1"/>
        <v>-2.1674313915074572</v>
      </c>
      <c r="E33" s="207">
        <f t="shared" si="4"/>
        <v>-11.577537313432828</v>
      </c>
      <c r="F33" s="210">
        <f t="shared" si="3"/>
        <v>-9.5525954198473322</v>
      </c>
      <c r="G33" s="211">
        <f t="shared" si="5"/>
        <v>15.748644556244805</v>
      </c>
      <c r="H33" s="209">
        <f>+B$212/B33*F$53</f>
        <v>1.3401407971475019</v>
      </c>
    </row>
    <row r="34" spans="1:8" ht="15" hidden="1">
      <c r="A34" s="230" t="s">
        <v>139</v>
      </c>
      <c r="B34" s="231">
        <v>45814.76</v>
      </c>
      <c r="C34" s="207">
        <f t="shared" si="0"/>
        <v>114.9968875502008</v>
      </c>
      <c r="D34" s="207">
        <f t="shared" si="1"/>
        <v>-3.3330491931121142</v>
      </c>
      <c r="E34" s="207">
        <f t="shared" si="4"/>
        <v>-14.524701492537307</v>
      </c>
      <c r="F34" s="210">
        <f t="shared" si="3"/>
        <v>-14.524701492537307</v>
      </c>
      <c r="G34" s="211">
        <f t="shared" si="5"/>
        <v>5.6126325495619911</v>
      </c>
      <c r="H34" s="209">
        <f>+B$212/B34*F$53</f>
        <v>1.3863484737660843</v>
      </c>
    </row>
    <row r="35" spans="1:8" ht="15" hidden="1">
      <c r="A35" s="230" t="s">
        <v>140</v>
      </c>
      <c r="B35" s="231">
        <v>45505.17</v>
      </c>
      <c r="C35" s="207">
        <f t="shared" si="0"/>
        <v>114.21980421686747</v>
      </c>
      <c r="D35" s="207">
        <f t="shared" si="1"/>
        <v>-0.67574292651537693</v>
      </c>
      <c r="E35" s="207">
        <f t="shared" ref="E35:E46" si="6">100*(C35/C$34-1)</f>
        <v>-0.67574292651537693</v>
      </c>
      <c r="F35" s="210">
        <f t="shared" si="3"/>
        <v>-15.440359800342996</v>
      </c>
      <c r="G35" s="211">
        <f t="shared" si="5"/>
        <v>9.8097731660231844</v>
      </c>
      <c r="H35" s="209">
        <f>+B$212/B35*F$53</f>
        <v>1.3957803608240438</v>
      </c>
    </row>
    <row r="36" spans="1:8" ht="15" hidden="1">
      <c r="A36" s="230" t="s">
        <v>141</v>
      </c>
      <c r="B36" s="231">
        <v>46945.83</v>
      </c>
      <c r="C36" s="207">
        <f t="shared" si="0"/>
        <v>117.83591867469879</v>
      </c>
      <c r="D36" s="207">
        <f t="shared" si="1"/>
        <v>3.1659259815972396</v>
      </c>
      <c r="E36" s="207">
        <f t="shared" si="6"/>
        <v>2.468789534202509</v>
      </c>
      <c r="F36" s="210">
        <f t="shared" si="3"/>
        <v>-15.304264209219765</v>
      </c>
      <c r="G36" s="211">
        <f t="shared" si="5"/>
        <v>10.149765368371643</v>
      </c>
      <c r="H36" s="209">
        <f>+B$212/B36*F$53</f>
        <v>1.3529470583853656</v>
      </c>
    </row>
    <row r="37" spans="1:8" ht="15" hidden="1">
      <c r="A37" s="230" t="s">
        <v>142</v>
      </c>
      <c r="B37" s="231">
        <v>46384.29</v>
      </c>
      <c r="C37" s="207">
        <f t="shared" si="0"/>
        <v>116.42643072289157</v>
      </c>
      <c r="D37" s="207">
        <f t="shared" si="1"/>
        <v>-1.1961445776973112</v>
      </c>
      <c r="E37" s="207">
        <f t="shared" si="6"/>
        <v>1.2431146643570923</v>
      </c>
      <c r="F37" s="210">
        <f t="shared" si="3"/>
        <v>-14.813057851239664</v>
      </c>
      <c r="G37" s="211">
        <f t="shared" si="5"/>
        <v>6.5228045195664164</v>
      </c>
      <c r="H37" s="209">
        <f>+B$212/B37*F$53</f>
        <v>1.3693261792292057</v>
      </c>
    </row>
    <row r="38" spans="1:8" ht="15" hidden="1">
      <c r="A38" s="230" t="s">
        <v>143</v>
      </c>
      <c r="B38" s="231">
        <v>45385.71</v>
      </c>
      <c r="C38" s="207">
        <f t="shared" si="0"/>
        <v>113.91995481927711</v>
      </c>
      <c r="D38" s="207">
        <f t="shared" si="1"/>
        <v>-2.1528409726655262</v>
      </c>
      <c r="E38" s="207">
        <f t="shared" si="6"/>
        <v>-0.9364885901399389</v>
      </c>
      <c r="F38" s="210">
        <f t="shared" si="3"/>
        <v>-14.431165158371041</v>
      </c>
      <c r="G38" s="211">
        <f t="shared" si="5"/>
        <v>2.3122407574391435</v>
      </c>
      <c r="H38" s="209">
        <f>+B$212/B38*F$53</f>
        <v>1.3994542026985908</v>
      </c>
    </row>
    <row r="39" spans="1:8" ht="15" hidden="1">
      <c r="A39" s="230" t="s">
        <v>144</v>
      </c>
      <c r="B39" s="231">
        <v>46420</v>
      </c>
      <c r="C39" s="207">
        <f t="shared" si="0"/>
        <v>116.51606425702811</v>
      </c>
      <c r="D39" s="207">
        <f t="shared" si="1"/>
        <v>2.2788891040814274</v>
      </c>
      <c r="E39" s="207">
        <f t="shared" si="6"/>
        <v>1.3210589774998338</v>
      </c>
      <c r="F39" s="210">
        <f t="shared" si="3"/>
        <v>-18.094397882664325</v>
      </c>
      <c r="G39" s="211">
        <f t="shared" si="5"/>
        <v>4.1507740632712453</v>
      </c>
      <c r="H39" s="209">
        <f>+B$212/B39*F$53</f>
        <v>1.368272783325279</v>
      </c>
    </row>
    <row r="40" spans="1:8" ht="15" hidden="1">
      <c r="A40" s="230" t="s">
        <v>145</v>
      </c>
      <c r="B40" s="231">
        <v>46021.25</v>
      </c>
      <c r="C40" s="207">
        <f t="shared" si="0"/>
        <v>115.51518574297189</v>
      </c>
      <c r="D40" s="207">
        <f t="shared" si="1"/>
        <v>-0.85900473933647747</v>
      </c>
      <c r="E40" s="207">
        <f t="shared" si="6"/>
        <v>0.45070627893719628</v>
      </c>
      <c r="F40" s="210">
        <f t="shared" si="3"/>
        <v>-16.787720790426476</v>
      </c>
      <c r="G40" s="211">
        <f t="shared" si="5"/>
        <v>-0.17082429501084073</v>
      </c>
      <c r="H40" s="209">
        <f>+B$212/B40*F$53</f>
        <v>1.3801281495387339</v>
      </c>
    </row>
    <row r="41" spans="1:8" ht="15" hidden="1">
      <c r="A41" s="230" t="s">
        <v>146</v>
      </c>
      <c r="B41" s="231">
        <v>45392</v>
      </c>
      <c r="C41" s="207">
        <f t="shared" si="0"/>
        <v>113.93574297188755</v>
      </c>
      <c r="D41" s="207">
        <f t="shared" si="1"/>
        <v>-1.3673031480022857</v>
      </c>
      <c r="E41" s="207">
        <f t="shared" si="6"/>
        <v>-0.92275939020525222</v>
      </c>
      <c r="F41" s="210">
        <f t="shared" si="3"/>
        <v>-21.917426715448773</v>
      </c>
      <c r="G41" s="211">
        <f t="shared" si="5"/>
        <v>-5.4215110222111118</v>
      </c>
      <c r="H41" s="209">
        <f>+B$212/B41*F$53</f>
        <v>1.3992602793875453</v>
      </c>
    </row>
    <row r="42" spans="1:8" ht="15" hidden="1">
      <c r="A42" s="230" t="s">
        <v>147</v>
      </c>
      <c r="B42" s="231">
        <v>46200</v>
      </c>
      <c r="C42" s="207">
        <f t="shared" si="0"/>
        <v>115.96385542168674</v>
      </c>
      <c r="D42" s="207">
        <f t="shared" si="1"/>
        <v>1.7800493479027235</v>
      </c>
      <c r="E42" s="207">
        <f t="shared" si="6"/>
        <v>0.84086438518939932</v>
      </c>
      <c r="F42" s="210">
        <f t="shared" si="3"/>
        <v>-15.449994528040778</v>
      </c>
      <c r="G42" s="211">
        <f t="shared" si="5"/>
        <v>-3.7900874635568571</v>
      </c>
      <c r="H42" s="209">
        <f>+B$212/B42*F$53</f>
        <v>1.3747883680077804</v>
      </c>
    </row>
    <row r="43" spans="1:8" ht="15" hidden="1">
      <c r="A43" s="230" t="s">
        <v>148</v>
      </c>
      <c r="B43" s="231">
        <v>46540</v>
      </c>
      <c r="C43" s="207">
        <f t="shared" si="0"/>
        <v>116.81726907630522</v>
      </c>
      <c r="D43" s="207">
        <f t="shared" si="1"/>
        <v>0.73593073593074543</v>
      </c>
      <c r="E43" s="207">
        <f t="shared" si="6"/>
        <v>1.5829833005782445</v>
      </c>
      <c r="F43" s="210">
        <f t="shared" si="3"/>
        <v>-10.614602393431349</v>
      </c>
      <c r="G43" s="211">
        <f t="shared" si="5"/>
        <v>-6.0746720484359251</v>
      </c>
      <c r="H43" s="209">
        <f>+B$212/B43*F$53</f>
        <v>1.3647447916192406</v>
      </c>
    </row>
    <row r="44" spans="1:8" ht="15" hidden="1">
      <c r="A44" s="230" t="s">
        <v>149</v>
      </c>
      <c r="B44" s="231">
        <v>47798.64</v>
      </c>
      <c r="C44" s="207">
        <f t="shared" si="0"/>
        <v>119.97650602409638</v>
      </c>
      <c r="D44" s="207">
        <f t="shared" si="1"/>
        <v>2.704426299957019</v>
      </c>
      <c r="E44" s="207">
        <f t="shared" si="6"/>
        <v>4.3302202172400328</v>
      </c>
      <c r="F44" s="210">
        <f t="shared" si="3"/>
        <v>-1.3330735167957353</v>
      </c>
      <c r="G44" s="211">
        <f t="shared" si="5"/>
        <v>-5.9081889763779589</v>
      </c>
      <c r="H44" s="209">
        <f>+B$212/B44*F$53</f>
        <v>1.3288081544152606</v>
      </c>
    </row>
    <row r="45" spans="1:8" ht="15" hidden="1">
      <c r="A45" s="230" t="s">
        <v>150</v>
      </c>
      <c r="B45" s="231">
        <v>46440</v>
      </c>
      <c r="C45" s="207">
        <f t="shared" si="0"/>
        <v>116.56626506024097</v>
      </c>
      <c r="D45" s="207">
        <f t="shared" si="1"/>
        <v>-2.8424239685480579</v>
      </c>
      <c r="E45" s="207">
        <f t="shared" si="6"/>
        <v>1.364713031346243</v>
      </c>
      <c r="F45" s="210">
        <f t="shared" si="3"/>
        <v>-2.0138227184454571</v>
      </c>
      <c r="G45" s="211">
        <f t="shared" si="5"/>
        <v>-11.374045801526723</v>
      </c>
      <c r="H45" s="209">
        <f>+B$212/B45*F$53</f>
        <v>1.3676835185607119</v>
      </c>
    </row>
    <row r="46" spans="1:8" ht="15" hidden="1">
      <c r="A46" s="230" t="s">
        <v>151</v>
      </c>
      <c r="B46" s="231">
        <v>46833.33</v>
      </c>
      <c r="C46" s="207">
        <f t="shared" si="0"/>
        <v>117.5535391566265</v>
      </c>
      <c r="D46" s="207">
        <f t="shared" si="1"/>
        <v>0.84696382428939287</v>
      </c>
      <c r="E46" s="207">
        <f t="shared" si="6"/>
        <v>2.2232354813165101</v>
      </c>
      <c r="F46" s="210">
        <f t="shared" si="3"/>
        <v>2.2232354813165101</v>
      </c>
      <c r="G46" s="211">
        <f t="shared" si="5"/>
        <v>-12.624384328358207</v>
      </c>
      <c r="H46" s="209">
        <f>+B$212/B46*F$53</f>
        <v>1.3561970204117335</v>
      </c>
    </row>
    <row r="47" spans="1:8" ht="15" hidden="1">
      <c r="A47" s="230" t="s">
        <v>152</v>
      </c>
      <c r="B47" s="231">
        <v>46166.67</v>
      </c>
      <c r="C47" s="207">
        <f t="shared" si="0"/>
        <v>115.88019578313254</v>
      </c>
      <c r="D47" s="212">
        <f t="shared" si="1"/>
        <v>-1.4234734109233593</v>
      </c>
      <c r="E47" s="212">
        <f t="shared" ref="E47:E52" si="7">100*(C47/C$46-1)</f>
        <v>-1.4234734109233593</v>
      </c>
      <c r="F47" s="213">
        <f t="shared" si="3"/>
        <v>1.4536809773482817</v>
      </c>
      <c r="G47" s="211">
        <f t="shared" si="5"/>
        <v>-14.211132396246418</v>
      </c>
      <c r="H47" s="209">
        <f>+B$212/B47*F$53</f>
        <v>1.3757808956539306</v>
      </c>
    </row>
    <row r="48" spans="1:8" ht="15" hidden="1">
      <c r="A48" s="230" t="s">
        <v>153</v>
      </c>
      <c r="B48" s="231">
        <v>46200</v>
      </c>
      <c r="C48" s="207">
        <f t="shared" si="0"/>
        <v>115.96385542168674</v>
      </c>
      <c r="D48" s="212">
        <f t="shared" si="1"/>
        <v>7.2194940635728067E-2</v>
      </c>
      <c r="E48" s="212">
        <f t="shared" si="7"/>
        <v>-1.3523061460716024</v>
      </c>
      <c r="F48" s="213">
        <f t="shared" si="3"/>
        <v>-1.5887034056059846</v>
      </c>
      <c r="G48" s="211">
        <f t="shared" si="5"/>
        <v>-16.649828248130937</v>
      </c>
      <c r="H48" s="209">
        <f>+B$212/B48*F$53</f>
        <v>1.3747883680077804</v>
      </c>
    </row>
    <row r="49" spans="1:10" ht="15" hidden="1">
      <c r="A49" s="230" t="s">
        <v>154</v>
      </c>
      <c r="B49" s="231">
        <v>48820</v>
      </c>
      <c r="C49" s="207">
        <f t="shared" si="0"/>
        <v>122.54016064257029</v>
      </c>
      <c r="D49" s="212">
        <f t="shared" si="1"/>
        <v>5.670995670995671</v>
      </c>
      <c r="E49" s="212">
        <f t="shared" si="7"/>
        <v>4.2420003019217445</v>
      </c>
      <c r="F49" s="213">
        <f t="shared" si="3"/>
        <v>5.251152922681368</v>
      </c>
      <c r="G49" s="211">
        <f t="shared" si="5"/>
        <v>-10.339761248852152</v>
      </c>
      <c r="H49" s="209">
        <f>+B$212/B49*F$53</f>
        <v>1.3010082466603738</v>
      </c>
    </row>
    <row r="50" spans="1:10" ht="15" hidden="1">
      <c r="A50" s="230" t="s">
        <v>155</v>
      </c>
      <c r="B50" s="231">
        <v>49300</v>
      </c>
      <c r="C50" s="207">
        <f t="shared" si="0"/>
        <v>123.74497991967871</v>
      </c>
      <c r="D50" s="212">
        <f t="shared" si="1"/>
        <v>0.98320360507988536</v>
      </c>
      <c r="E50" s="212">
        <f t="shared" si="7"/>
        <v>5.2669114068976119</v>
      </c>
      <c r="F50" s="213">
        <f t="shared" si="3"/>
        <v>8.6244987684449548</v>
      </c>
      <c r="G50" s="211">
        <f t="shared" si="5"/>
        <v>-7.05128205128206</v>
      </c>
      <c r="H50" s="209">
        <f>+B$212/B50*F$53</f>
        <v>1.2883412292486704</v>
      </c>
    </row>
    <row r="51" spans="1:10" ht="15" hidden="1">
      <c r="A51" s="230" t="s">
        <v>156</v>
      </c>
      <c r="B51" s="238">
        <v>50800</v>
      </c>
      <c r="C51" s="239">
        <f t="shared" si="0"/>
        <v>127.51004016064257</v>
      </c>
      <c r="D51" s="240">
        <f t="shared" si="1"/>
        <v>3.0425963488843966</v>
      </c>
      <c r="E51" s="240">
        <f t="shared" si="7"/>
        <v>8.4697586099472524</v>
      </c>
      <c r="F51" s="241">
        <f t="shared" si="3"/>
        <v>9.4355881085738993</v>
      </c>
      <c r="G51" s="242">
        <f t="shared" si="5"/>
        <v>-10.366122629025142</v>
      </c>
      <c r="H51" s="209">
        <f>+B$212/B51*F$53</f>
        <v>1.2502996575188867</v>
      </c>
    </row>
    <row r="52" spans="1:10" ht="15" hidden="1">
      <c r="A52" s="230" t="s">
        <v>157</v>
      </c>
      <c r="B52" s="231">
        <v>49640</v>
      </c>
      <c r="C52" s="207">
        <f t="shared" si="0"/>
        <v>124.59839357429719</v>
      </c>
      <c r="D52" s="212">
        <f t="shared" si="1"/>
        <v>-2.2834645669291387</v>
      </c>
      <c r="E52" s="212">
        <f t="shared" si="7"/>
        <v>5.9928901062555218</v>
      </c>
      <c r="F52" s="213">
        <f t="shared" si="3"/>
        <v>7.863215362468412</v>
      </c>
      <c r="G52" s="211">
        <f t="shared" si="5"/>
        <v>-10.244560068159171</v>
      </c>
      <c r="H52" s="209">
        <f>+B$212/B52*F$53</f>
        <v>1.2795169742538164</v>
      </c>
    </row>
    <row r="53" spans="1:10" ht="15" hidden="1">
      <c r="A53" s="243">
        <v>39234</v>
      </c>
      <c r="B53" s="244"/>
      <c r="C53" s="245" t="s">
        <v>20</v>
      </c>
      <c r="D53" s="246"/>
      <c r="E53" s="212"/>
      <c r="F53" s="247">
        <f>B52/B54</f>
        <v>0.67860560492139443</v>
      </c>
      <c r="G53" s="211"/>
      <c r="H53" s="209"/>
    </row>
    <row r="54" spans="1:10" ht="15" hidden="1">
      <c r="A54" s="230" t="s">
        <v>158</v>
      </c>
      <c r="B54" s="231">
        <v>73150</v>
      </c>
      <c r="C54" s="207">
        <f>(100*B54/B$8)*$F$53</f>
        <v>124.59839357429719</v>
      </c>
      <c r="D54" s="212">
        <f>100*(C54/C51-1)</f>
        <v>-2.2834645669291387</v>
      </c>
      <c r="E54" s="212">
        <f t="shared" ref="E54:E59" si="8">100*(C54/C$46-1)</f>
        <v>5.9928901062555218</v>
      </c>
      <c r="F54" s="213">
        <f t="shared" ref="F54:F59" si="9">(100*(C54/C41-1))</f>
        <v>9.3584772647162584</v>
      </c>
      <c r="G54" s="211">
        <f t="shared" ref="G54:G59" si="10">100*(C54/C29-1)</f>
        <v>-14.610086846908644</v>
      </c>
      <c r="H54" s="209">
        <f>+B$212/B54</f>
        <v>1.2795169742538164</v>
      </c>
      <c r="I54" s="123"/>
      <c r="J54" s="124"/>
    </row>
    <row r="55" spans="1:10" ht="15" hidden="1">
      <c r="A55" s="230" t="s">
        <v>159</v>
      </c>
      <c r="B55" s="231">
        <v>71000</v>
      </c>
      <c r="C55" s="207">
        <f t="shared" ref="C55:C106" si="11">(100*B55/B$8)*$F$53</f>
        <v>120.93623983287904</v>
      </c>
      <c r="D55" s="212">
        <f t="shared" ref="D55:D61" si="12">100*(C55/C54-1)</f>
        <v>-2.9391660970608191</v>
      </c>
      <c r="E55" s="212">
        <f t="shared" si="8"/>
        <v>2.8775830149575299</v>
      </c>
      <c r="F55" s="213">
        <f t="shared" si="9"/>
        <v>4.2878743493917959</v>
      </c>
      <c r="G55" s="211">
        <f t="shared" si="10"/>
        <v>-11.824596530999276</v>
      </c>
      <c r="H55" s="209">
        <f>+B$212/B55</f>
        <v>1.3182629107981221</v>
      </c>
    </row>
    <row r="56" spans="1:10" ht="15" hidden="1">
      <c r="A56" s="230" t="s">
        <v>160</v>
      </c>
      <c r="B56" s="231">
        <v>73187.5</v>
      </c>
      <c r="C56" s="207">
        <f t="shared" si="11"/>
        <v>124.66226834885683</v>
      </c>
      <c r="D56" s="212">
        <f t="shared" si="12"/>
        <v>3.0809859154929509</v>
      </c>
      <c r="E56" s="212">
        <f t="shared" si="8"/>
        <v>6.0472268578479538</v>
      </c>
      <c r="F56" s="213">
        <f t="shared" si="9"/>
        <v>6.7156160511056218</v>
      </c>
      <c r="G56" s="211">
        <f t="shared" si="10"/>
        <v>-4.6118222844200307</v>
      </c>
      <c r="H56" s="209">
        <f>+B$212/B56</f>
        <v>1.2788613720466837</v>
      </c>
    </row>
    <row r="57" spans="1:10" ht="15" hidden="1">
      <c r="A57" s="230" t="s">
        <v>161</v>
      </c>
      <c r="B57" s="231">
        <v>73357.142857142855</v>
      </c>
      <c r="C57" s="207">
        <f t="shared" si="11"/>
        <v>124.9512256623408</v>
      </c>
      <c r="D57" s="212">
        <f t="shared" si="12"/>
        <v>0.23179211906794173</v>
      </c>
      <c r="E57" s="212">
        <f t="shared" si="8"/>
        <v>6.2930359721945495</v>
      </c>
      <c r="F57" s="213">
        <f t="shared" si="9"/>
        <v>4.1464114959684606</v>
      </c>
      <c r="G57" s="211">
        <f t="shared" si="10"/>
        <v>2.7580632656226012</v>
      </c>
      <c r="H57" s="209">
        <f>+B$212/B57</f>
        <v>1.2759039272963324</v>
      </c>
    </row>
    <row r="58" spans="1:10" ht="15" hidden="1">
      <c r="A58" s="230" t="s">
        <v>162</v>
      </c>
      <c r="B58" s="231">
        <v>73357.142857142855</v>
      </c>
      <c r="C58" s="207">
        <f t="shared" si="11"/>
        <v>124.9512256623408</v>
      </c>
      <c r="D58" s="212">
        <f t="shared" si="12"/>
        <v>0</v>
      </c>
      <c r="E58" s="212">
        <f t="shared" si="8"/>
        <v>6.2930359721945495</v>
      </c>
      <c r="F58" s="213">
        <f t="shared" si="9"/>
        <v>7.1932995346179585</v>
      </c>
      <c r="G58" s="211">
        <f t="shared" si="10"/>
        <v>5.0346165159385281</v>
      </c>
      <c r="H58" s="209">
        <f>+B$212/B58</f>
        <v>1.2759039272963324</v>
      </c>
    </row>
    <row r="59" spans="1:10" ht="15" hidden="1">
      <c r="A59" s="230" t="s">
        <v>163</v>
      </c>
      <c r="B59" s="231">
        <v>74416.666666666672</v>
      </c>
      <c r="C59" s="207">
        <f t="shared" si="11"/>
        <v>126.75594151497766</v>
      </c>
      <c r="D59" s="212">
        <f t="shared" si="12"/>
        <v>1.4443362544628302</v>
      </c>
      <c r="E59" s="212">
        <f t="shared" si="8"/>
        <v>7.828264826710174</v>
      </c>
      <c r="F59" s="213">
        <f t="shared" si="9"/>
        <v>7.828264826710174</v>
      </c>
      <c r="G59" s="211">
        <f t="shared" si="10"/>
        <v>10.225541069225507</v>
      </c>
      <c r="H59" s="209">
        <f>+B$212/B59</f>
        <v>1.2577379619260918</v>
      </c>
    </row>
    <row r="60" spans="1:10" ht="15" hidden="1">
      <c r="A60" s="230" t="s">
        <v>164</v>
      </c>
      <c r="B60" s="231">
        <f>[105]CARROCERIA!$D$20</f>
        <v>72916.666666666672</v>
      </c>
      <c r="C60" s="207">
        <f t="shared" si="11"/>
        <v>124.20095053259291</v>
      </c>
      <c r="D60" s="212">
        <f t="shared" si="12"/>
        <v>-2.0156774916013309</v>
      </c>
      <c r="E60" s="212">
        <f t="shared" ref="E60:E65" si="13">100*(C60/C$59-1)</f>
        <v>-2.0156774916013309</v>
      </c>
      <c r="F60" s="213">
        <f t="shared" ref="F60:F65" si="14">(100*(C60/C47-1))</f>
        <v>7.1804804032541636</v>
      </c>
      <c r="G60" s="211">
        <f t="shared" ref="G60:G65" si="15">100*(C60/C35-1)</f>
        <v>8.7385426583067805</v>
      </c>
      <c r="H60" s="209">
        <f>+B$212/B60</f>
        <v>1.2836114285714286</v>
      </c>
    </row>
    <row r="61" spans="1:10" ht="15" hidden="1">
      <c r="A61" s="230" t="s">
        <v>165</v>
      </c>
      <c r="B61" s="231">
        <f>[106]CARROCERIA!$D$20</f>
        <v>73583.333333333328</v>
      </c>
      <c r="C61" s="207">
        <f t="shared" si="11"/>
        <v>125.33650208031946</v>
      </c>
      <c r="D61" s="212">
        <f t="shared" si="12"/>
        <v>0.91428571428571193</v>
      </c>
      <c r="E61" s="212">
        <f t="shared" si="13"/>
        <v>-1.1198208286674061</v>
      </c>
      <c r="F61" s="213">
        <f t="shared" si="14"/>
        <v>8.082386209522241</v>
      </c>
      <c r="G61" s="211">
        <f t="shared" si="15"/>
        <v>6.3652776589513405</v>
      </c>
      <c r="H61" s="209">
        <f>+B$212/B61</f>
        <v>1.2719818799547</v>
      </c>
    </row>
    <row r="62" spans="1:10" ht="15" hidden="1">
      <c r="A62" s="230" t="s">
        <v>166</v>
      </c>
      <c r="B62" s="231">
        <f>[107]CARROCERIA!$D$20</f>
        <v>73250</v>
      </c>
      <c r="C62" s="207">
        <f t="shared" si="11"/>
        <v>124.76872630645617</v>
      </c>
      <c r="D62" s="212">
        <f t="shared" ref="D62:D67" si="16">100*(C62/C61-1)</f>
        <v>-0.45300113250283935</v>
      </c>
      <c r="E62" s="212">
        <f t="shared" si="13"/>
        <v>-1.5677491601343796</v>
      </c>
      <c r="F62" s="213">
        <f t="shared" si="14"/>
        <v>1.8186410497585737</v>
      </c>
      <c r="G62" s="211">
        <f t="shared" si="15"/>
        <v>7.1652935950774266</v>
      </c>
      <c r="H62" s="209">
        <f>+B$212/B62</f>
        <v>1.2777701934015928</v>
      </c>
    </row>
    <row r="63" spans="1:10" ht="15" hidden="1">
      <c r="A63" s="230" t="s">
        <v>167</v>
      </c>
      <c r="B63" s="231">
        <f>[108]CARROCERIA!$D$20</f>
        <v>74166.666666666672</v>
      </c>
      <c r="C63" s="207">
        <f t="shared" si="11"/>
        <v>126.33010968458021</v>
      </c>
      <c r="D63" s="212">
        <f t="shared" si="16"/>
        <v>1.2514220705347023</v>
      </c>
      <c r="E63" s="212">
        <f t="shared" si="13"/>
        <v>-0.33594624860021627</v>
      </c>
      <c r="F63" s="213">
        <f t="shared" si="14"/>
        <v>2.0890784956120845</v>
      </c>
      <c r="G63" s="211">
        <f t="shared" si="15"/>
        <v>10.893749813182939</v>
      </c>
      <c r="H63" s="209">
        <f>+B$212/B63</f>
        <v>1.2619775280898877</v>
      </c>
    </row>
    <row r="64" spans="1:10" ht="15" hidden="1">
      <c r="A64" s="230" t="s">
        <v>168</v>
      </c>
      <c r="B64" s="231">
        <f>[109]CARROCERIA!$D$20</f>
        <v>73600</v>
      </c>
      <c r="C64" s="207">
        <f t="shared" si="11"/>
        <v>125.36489086901263</v>
      </c>
      <c r="D64" s="212">
        <f t="shared" si="16"/>
        <v>-0.76404494382023014</v>
      </c>
      <c r="E64" s="212">
        <f t="shared" si="13"/>
        <v>-1.0974244120940613</v>
      </c>
      <c r="F64" s="213">
        <f t="shared" si="14"/>
        <v>-1.6823375546956121</v>
      </c>
      <c r="G64" s="211">
        <f t="shared" si="15"/>
        <v>7.5945121116213654</v>
      </c>
      <c r="H64" s="209">
        <f>+B$212/B64</f>
        <v>1.2716938405797102</v>
      </c>
    </row>
    <row r="65" spans="1:8" ht="15" hidden="1">
      <c r="A65" s="230" t="s">
        <v>169</v>
      </c>
      <c r="B65" s="231">
        <f>[110]CARROCERIA!$D$20</f>
        <v>74583.333333333328</v>
      </c>
      <c r="C65" s="207">
        <f t="shared" si="11"/>
        <v>127.0398294019093</v>
      </c>
      <c r="D65" s="212">
        <f t="shared" si="16"/>
        <v>1.3360507246376718</v>
      </c>
      <c r="E65" s="212">
        <f t="shared" si="13"/>
        <v>0.22396416573347011</v>
      </c>
      <c r="F65" s="213">
        <f t="shared" si="14"/>
        <v>1.9594440647072275</v>
      </c>
      <c r="G65" s="211">
        <f t="shared" si="15"/>
        <v>9.9767347338906696</v>
      </c>
      <c r="H65" s="209">
        <f>+B$212/B65</f>
        <v>1.2549273743016762</v>
      </c>
    </row>
    <row r="66" spans="1:8" ht="15" hidden="1">
      <c r="A66" s="230" t="s">
        <v>170</v>
      </c>
      <c r="B66" s="231">
        <f>[111]CARROCERIA!$D$20</f>
        <v>75050</v>
      </c>
      <c r="C66" s="207">
        <f t="shared" si="11"/>
        <v>127.8347154853179</v>
      </c>
      <c r="D66" s="212">
        <f t="shared" si="16"/>
        <v>0.62569832402235015</v>
      </c>
      <c r="E66" s="212">
        <f t="shared" ref="E66:E71" si="17">100*(C66/C$59-1)</f>
        <v>0.85106382978723527</v>
      </c>
      <c r="F66" s="213">
        <f t="shared" ref="F66:F71" si="18">(100*(C66/C54-1))</f>
        <v>2.5974025974025983</v>
      </c>
      <c r="G66" s="211">
        <f t="shared" ref="G66:G71" si="19">100*(C66/C41-1)</f>
        <v>12.198957193669923</v>
      </c>
      <c r="H66" s="209">
        <f>+B$212/B66</f>
        <v>1.2471241394625805</v>
      </c>
    </row>
    <row r="67" spans="1:8" ht="15" hidden="1">
      <c r="A67" s="230" t="s">
        <v>171</v>
      </c>
      <c r="B67" s="231">
        <f>[112]CARROCERIA!$D$20</f>
        <v>75660</v>
      </c>
      <c r="C67" s="207">
        <f t="shared" si="11"/>
        <v>128.8737451514877</v>
      </c>
      <c r="D67" s="212">
        <f t="shared" si="16"/>
        <v>0.8127914723517593</v>
      </c>
      <c r="E67" s="212">
        <f t="shared" si="17"/>
        <v>1.6707726763717679</v>
      </c>
      <c r="F67" s="213">
        <f t="shared" si="18"/>
        <v>6.5633802816901232</v>
      </c>
      <c r="G67" s="211">
        <f t="shared" si="19"/>
        <v>11.132684130633553</v>
      </c>
      <c r="H67" s="209">
        <f>+B$212/B67</f>
        <v>1.237069345316768</v>
      </c>
    </row>
    <row r="68" spans="1:8" ht="15" hidden="1">
      <c r="A68" s="230" t="s">
        <v>172</v>
      </c>
      <c r="B68" s="231">
        <f>[113]CARROCERIA!$D$20</f>
        <v>75300</v>
      </c>
      <c r="C68" s="207">
        <f t="shared" si="11"/>
        <v>128.26054731571537</v>
      </c>
      <c r="D68" s="212">
        <f t="shared" ref="D68:D73" si="20">100*(C68/C67-1)</f>
        <v>-0.47581284694685477</v>
      </c>
      <c r="E68" s="212">
        <f t="shared" si="17"/>
        <v>1.1870100783874626</v>
      </c>
      <c r="F68" s="213">
        <f t="shared" si="18"/>
        <v>2.8864218616567072</v>
      </c>
      <c r="G68" s="211">
        <f t="shared" si="19"/>
        <v>9.7958789226063594</v>
      </c>
      <c r="H68" s="209">
        <f>+B$212/B68</f>
        <v>1.2429836210712706</v>
      </c>
    </row>
    <row r="69" spans="1:8" ht="15" hidden="1">
      <c r="A69" s="230" t="s">
        <v>173</v>
      </c>
      <c r="B69" s="231">
        <f>[114]CARROCERIA!$D$20</f>
        <v>75800</v>
      </c>
      <c r="C69" s="207">
        <f t="shared" si="11"/>
        <v>129.11221097651028</v>
      </c>
      <c r="D69" s="212">
        <f t="shared" si="20"/>
        <v>0.66401062416998613</v>
      </c>
      <c r="E69" s="212">
        <f t="shared" si="17"/>
        <v>1.8589025755878952</v>
      </c>
      <c r="F69" s="213">
        <f t="shared" si="18"/>
        <v>3.3300876338850927</v>
      </c>
      <c r="G69" s="211">
        <f t="shared" si="19"/>
        <v>7.614578266330807</v>
      </c>
      <c r="H69" s="209">
        <f>+B$212/B69</f>
        <v>1.2347845206684258</v>
      </c>
    </row>
    <row r="70" spans="1:8" ht="15" hidden="1">
      <c r="A70" s="230" t="s">
        <v>174</v>
      </c>
      <c r="B70" s="231">
        <f>[115]CARROCERIA!$D$20</f>
        <v>75600</v>
      </c>
      <c r="C70" s="207">
        <f t="shared" si="11"/>
        <v>128.77154551219232</v>
      </c>
      <c r="D70" s="212">
        <f t="shared" si="20"/>
        <v>-0.26385224274405594</v>
      </c>
      <c r="E70" s="212">
        <f t="shared" si="17"/>
        <v>1.5901455767077355</v>
      </c>
      <c r="F70" s="213">
        <f t="shared" si="18"/>
        <v>3.057448880233693</v>
      </c>
      <c r="G70" s="211">
        <f t="shared" si="19"/>
        <v>10.47067987092467</v>
      </c>
      <c r="H70" s="209">
        <f>+B$212/B70</f>
        <v>1.2380511463844799</v>
      </c>
    </row>
    <row r="71" spans="1:8" ht="15" hidden="1">
      <c r="A71" s="230" t="s">
        <v>175</v>
      </c>
      <c r="B71" s="231">
        <f>[116]CARROCERIA!$D$20</f>
        <v>75800</v>
      </c>
      <c r="C71" s="207">
        <f t="shared" si="11"/>
        <v>129.11221097651028</v>
      </c>
      <c r="D71" s="212">
        <f t="shared" si="20"/>
        <v>0.26455026455025621</v>
      </c>
      <c r="E71" s="212">
        <f t="shared" si="17"/>
        <v>1.8589025755878952</v>
      </c>
      <c r="F71" s="213">
        <f t="shared" si="18"/>
        <v>1.8589025755878952</v>
      </c>
      <c r="G71" s="211">
        <f t="shared" si="19"/>
        <v>9.8326872187856296</v>
      </c>
      <c r="H71" s="209">
        <f>+B$212/B71</f>
        <v>1.2347845206684258</v>
      </c>
    </row>
    <row r="72" spans="1:8" ht="15" hidden="1">
      <c r="A72" s="230" t="s">
        <v>176</v>
      </c>
      <c r="B72" s="231">
        <f>[117]CARROCERIA!$D$20</f>
        <v>74980</v>
      </c>
      <c r="C72" s="207">
        <f t="shared" si="11"/>
        <v>127.71548257280662</v>
      </c>
      <c r="D72" s="212">
        <f t="shared" si="20"/>
        <v>-1.0817941952506516</v>
      </c>
      <c r="E72" s="212">
        <f t="shared" ref="E72:E77" si="21">100*(C72/C$71-1)</f>
        <v>-1.0817941952506516</v>
      </c>
      <c r="F72" s="213">
        <f t="shared" ref="F72:F77" si="22">(100*(C72/C60-1))</f>
        <v>2.8297142857142799</v>
      </c>
      <c r="G72" s="211">
        <f t="shared" ref="G72:G77" si="23">100*(C72/C47-1)</f>
        <v>10.21338176872224</v>
      </c>
      <c r="H72" s="209">
        <f>+B$212/B72</f>
        <v>1.2482884324708812</v>
      </c>
    </row>
    <row r="73" spans="1:8" ht="15" hidden="1">
      <c r="A73" s="230" t="s">
        <v>177</v>
      </c>
      <c r="B73" s="231">
        <f>[118]CARROCERIA!$D$20</f>
        <v>76460</v>
      </c>
      <c r="C73" s="207">
        <f t="shared" si="11"/>
        <v>130.23640700875958</v>
      </c>
      <c r="D73" s="212">
        <f t="shared" si="20"/>
        <v>1.9738596959189003</v>
      </c>
      <c r="E73" s="212">
        <f t="shared" si="21"/>
        <v>0.87071240105540681</v>
      </c>
      <c r="F73" s="213">
        <f t="shared" si="22"/>
        <v>3.9093997734994446</v>
      </c>
      <c r="G73" s="211">
        <f t="shared" si="23"/>
        <v>12.30775877119008</v>
      </c>
      <c r="H73" s="209">
        <f>+B$212/B73</f>
        <v>1.2241259046124335</v>
      </c>
    </row>
    <row r="74" spans="1:8" ht="15" hidden="1">
      <c r="A74" s="230" t="s">
        <v>178</v>
      </c>
      <c r="B74" s="231">
        <f>[119]CARROCERIA!$D$20</f>
        <v>75800</v>
      </c>
      <c r="C74" s="207">
        <f t="shared" si="11"/>
        <v>129.11221097651028</v>
      </c>
      <c r="D74" s="212">
        <f t="shared" ref="D74:D80" si="24">100*(C74/C73-1)</f>
        <v>-0.86319644258435746</v>
      </c>
      <c r="E74" s="212">
        <f t="shared" si="21"/>
        <v>0</v>
      </c>
      <c r="F74" s="213">
        <f t="shared" si="22"/>
        <v>3.4812286689419825</v>
      </c>
      <c r="G74" s="211">
        <f t="shared" si="23"/>
        <v>5.3631807723099056</v>
      </c>
      <c r="H74" s="209">
        <f>+B$212/B74</f>
        <v>1.2347845206684258</v>
      </c>
    </row>
    <row r="75" spans="1:8" ht="15" hidden="1">
      <c r="A75" s="230" t="s">
        <v>179</v>
      </c>
      <c r="B75" s="231">
        <f>[120]CARROCERIA!$D$20</f>
        <v>75775</v>
      </c>
      <c r="C75" s="207">
        <f t="shared" si="11"/>
        <v>129.06962779347054</v>
      </c>
      <c r="D75" s="212">
        <f t="shared" si="24"/>
        <v>-3.2981530343001442E-2</v>
      </c>
      <c r="E75" s="212">
        <f t="shared" si="21"/>
        <v>-3.2981530343001442E-2</v>
      </c>
      <c r="F75" s="213">
        <f t="shared" si="22"/>
        <v>2.1685393258426888</v>
      </c>
      <c r="G75" s="211">
        <f t="shared" si="23"/>
        <v>4.3029203101798474</v>
      </c>
      <c r="H75" s="209">
        <f>+B$212/B75</f>
        <v>1.2351919058616518</v>
      </c>
    </row>
    <row r="76" spans="1:8" ht="15" hidden="1">
      <c r="A76" s="230" t="s">
        <v>180</v>
      </c>
      <c r="B76" s="231">
        <f>[121]CARROCERIA!$D$20</f>
        <v>77162.5</v>
      </c>
      <c r="C76" s="207">
        <f t="shared" si="11"/>
        <v>131.43299445217644</v>
      </c>
      <c r="D76" s="212">
        <f t="shared" si="24"/>
        <v>1.8310788518640653</v>
      </c>
      <c r="E76" s="212">
        <f t="shared" si="21"/>
        <v>1.7974934036939283</v>
      </c>
      <c r="F76" s="213">
        <f t="shared" si="22"/>
        <v>4.8403532608695565</v>
      </c>
      <c r="G76" s="211">
        <f t="shared" si="23"/>
        <v>3.0765846254864115</v>
      </c>
      <c r="H76" s="209">
        <f>+B$212/B76</f>
        <v>1.2129812624871754</v>
      </c>
    </row>
    <row r="77" spans="1:8" ht="15" hidden="1">
      <c r="A77" s="230" t="s">
        <v>181</v>
      </c>
      <c r="B77" s="231">
        <f>[122]CARROCERIA!$D$20</f>
        <v>76175</v>
      </c>
      <c r="C77" s="207">
        <f t="shared" si="11"/>
        <v>129.75095872210647</v>
      </c>
      <c r="D77" s="212">
        <f t="shared" si="24"/>
        <v>-1.2797667260651235</v>
      </c>
      <c r="E77" s="212">
        <f t="shared" si="21"/>
        <v>0.49472295514512155</v>
      </c>
      <c r="F77" s="213">
        <f t="shared" si="22"/>
        <v>2.1340782122905022</v>
      </c>
      <c r="G77" s="211">
        <f t="shared" si="23"/>
        <v>4.1353383458646586</v>
      </c>
      <c r="H77" s="209">
        <f>+B$212/B77</f>
        <v>1.2287058308718959</v>
      </c>
    </row>
    <row r="78" spans="1:8" ht="15" hidden="1">
      <c r="A78" s="230" t="s">
        <v>182</v>
      </c>
      <c r="B78" s="231">
        <f>[123]CARROCERIA!$D$20</f>
        <v>76175</v>
      </c>
      <c r="C78" s="207">
        <f t="shared" si="11"/>
        <v>129.75095872210647</v>
      </c>
      <c r="D78" s="212">
        <f t="shared" si="24"/>
        <v>0</v>
      </c>
      <c r="E78" s="212">
        <f t="shared" ref="E78:E83" si="25">100*(C78/C$71-1)</f>
        <v>0.49472295514512155</v>
      </c>
      <c r="F78" s="213">
        <f t="shared" ref="F78:F83" si="26">(100*(C78/C66-1))</f>
        <v>1.4990006662225275</v>
      </c>
      <c r="G78" s="211">
        <f>100*(C78/C54-1)</f>
        <v>4.1353383458646586</v>
      </c>
      <c r="H78" s="209">
        <f>+B$212/B78</f>
        <v>1.2287058308718959</v>
      </c>
    </row>
    <row r="79" spans="1:8" ht="15" hidden="1">
      <c r="A79" s="230" t="s">
        <v>183</v>
      </c>
      <c r="B79" s="231">
        <f>[124]CARROCERIA!$D$20</f>
        <v>76258.333333333328</v>
      </c>
      <c r="C79" s="207">
        <f t="shared" si="11"/>
        <v>129.89290266557228</v>
      </c>
      <c r="D79" s="212">
        <f t="shared" si="24"/>
        <v>0.10939722131055873</v>
      </c>
      <c r="E79" s="212">
        <f t="shared" si="25"/>
        <v>0.60466138962180782</v>
      </c>
      <c r="F79" s="213">
        <f t="shared" si="26"/>
        <v>0.79081857432372615</v>
      </c>
      <c r="G79" s="211">
        <f t="shared" ref="G79:G101" si="27">100*(C79/C55-1)</f>
        <v>7.4061032863849574</v>
      </c>
      <c r="H79" s="209">
        <f>+B$212/B79</f>
        <v>1.2273631297125998</v>
      </c>
    </row>
    <row r="80" spans="1:8" ht="15" hidden="1">
      <c r="A80" s="230" t="s">
        <v>184</v>
      </c>
      <c r="B80" s="231">
        <f>[125]CARROCERIA!$D$20</f>
        <v>76341.666666666672</v>
      </c>
      <c r="C80" s="207">
        <f t="shared" si="11"/>
        <v>130.03484660903811</v>
      </c>
      <c r="D80" s="212">
        <f t="shared" si="24"/>
        <v>0.1092776745710955</v>
      </c>
      <c r="E80" s="212">
        <f t="shared" si="25"/>
        <v>0.7145998240984941</v>
      </c>
      <c r="F80" s="213">
        <f t="shared" si="26"/>
        <v>1.383355467020797</v>
      </c>
      <c r="G80" s="211">
        <f t="shared" si="27"/>
        <v>4.3097068033020047</v>
      </c>
      <c r="H80" s="209">
        <f>+B$212/B80</f>
        <v>1.2260233598952079</v>
      </c>
    </row>
    <row r="81" spans="1:8" ht="15" hidden="1">
      <c r="A81" s="230" t="s">
        <v>185</v>
      </c>
      <c r="B81" s="231">
        <f>[126]CARROCERIA!$D$20</f>
        <v>76591.666666666672</v>
      </c>
      <c r="C81" s="207">
        <f t="shared" si="11"/>
        <v>130.46067843943558</v>
      </c>
      <c r="D81" s="212">
        <f t="shared" ref="D81:D87" si="28">100*(C81/C80-1)</f>
        <v>0.32747516646653985</v>
      </c>
      <c r="E81" s="212">
        <f t="shared" si="25"/>
        <v>1.0444151275285973</v>
      </c>
      <c r="F81" s="213">
        <f t="shared" si="26"/>
        <v>1.0444151275285973</v>
      </c>
      <c r="G81" s="211">
        <f t="shared" si="27"/>
        <v>4.4092827004219348</v>
      </c>
      <c r="H81" s="209">
        <f>+B$212/B81</f>
        <v>1.2220215428136221</v>
      </c>
    </row>
    <row r="82" spans="1:8" ht="15" hidden="1">
      <c r="A82" s="230" t="s">
        <v>186</v>
      </c>
      <c r="B82" s="231">
        <f>[127]CARROCERIA!$D$21</f>
        <v>76858.333333333328</v>
      </c>
      <c r="C82" s="207">
        <f t="shared" si="11"/>
        <v>130.9148990585262</v>
      </c>
      <c r="D82" s="212">
        <f t="shared" si="28"/>
        <v>0.34816668480033286</v>
      </c>
      <c r="E82" s="212">
        <f t="shared" si="25"/>
        <v>1.3962181178539979</v>
      </c>
      <c r="F82" s="213">
        <f t="shared" si="26"/>
        <v>1.6644620811287369</v>
      </c>
      <c r="G82" s="211">
        <f t="shared" si="27"/>
        <v>4.7728010386238306</v>
      </c>
      <c r="H82" s="209">
        <f>+B$212/B82</f>
        <v>1.2177816328743361</v>
      </c>
    </row>
    <row r="83" spans="1:8" ht="15" hidden="1">
      <c r="A83" s="230" t="s">
        <v>187</v>
      </c>
      <c r="B83" s="231">
        <f>[128]CARROCERIA!$D$21</f>
        <v>77066.666666666672</v>
      </c>
      <c r="C83" s="207">
        <f t="shared" si="11"/>
        <v>131.26975891719076</v>
      </c>
      <c r="D83" s="212">
        <f t="shared" si="28"/>
        <v>0.27106147674291758</v>
      </c>
      <c r="E83" s="212">
        <f t="shared" si="25"/>
        <v>1.6710642040457468</v>
      </c>
      <c r="F83" s="213">
        <f t="shared" si="26"/>
        <v>1.6710642040457468</v>
      </c>
      <c r="G83" s="211">
        <f t="shared" si="27"/>
        <v>3.5610302351623657</v>
      </c>
      <c r="H83" s="209">
        <f>+B$212/B83</f>
        <v>1.2144896193771626</v>
      </c>
    </row>
    <row r="84" spans="1:8" ht="15" hidden="1">
      <c r="A84" s="230" t="s">
        <v>188</v>
      </c>
      <c r="B84" s="231">
        <f>[129]CARROCERIA!$D$21</f>
        <v>77066.666666666672</v>
      </c>
      <c r="C84" s="207">
        <f t="shared" si="11"/>
        <v>131.26975891719076</v>
      </c>
      <c r="D84" s="212">
        <f t="shared" si="28"/>
        <v>0</v>
      </c>
      <c r="E84" s="212">
        <f t="shared" ref="E84:E89" si="29">100*(C84/C$83-1)</f>
        <v>0</v>
      </c>
      <c r="F84" s="213">
        <f t="shared" ref="F84:F89" si="30">(100*(C84/C72-1))</f>
        <v>2.7829643460478337</v>
      </c>
      <c r="G84" s="211">
        <f t="shared" si="27"/>
        <v>5.6914285714285695</v>
      </c>
      <c r="H84" s="209">
        <f>+B$212/B84</f>
        <v>1.2144896193771626</v>
      </c>
    </row>
    <row r="85" spans="1:8" ht="15" hidden="1">
      <c r="A85" s="230" t="s">
        <v>189</v>
      </c>
      <c r="B85" s="231">
        <f>[130]CARROCERIA!$D$21</f>
        <v>77066.666666666672</v>
      </c>
      <c r="C85" s="207">
        <f t="shared" si="11"/>
        <v>131.26975891719076</v>
      </c>
      <c r="D85" s="212">
        <f t="shared" si="28"/>
        <v>0</v>
      </c>
      <c r="E85" s="212">
        <f t="shared" si="29"/>
        <v>0</v>
      </c>
      <c r="F85" s="213">
        <f t="shared" si="30"/>
        <v>0.7934431946987619</v>
      </c>
      <c r="G85" s="211">
        <f t="shared" si="27"/>
        <v>4.7338618346545847</v>
      </c>
      <c r="H85" s="209">
        <f>+B$212/B85</f>
        <v>1.2144896193771626</v>
      </c>
    </row>
    <row r="86" spans="1:8" ht="15" hidden="1">
      <c r="A86" s="230" t="s">
        <v>190</v>
      </c>
      <c r="B86" s="231">
        <f>[131]CARROCERIA!$D$21</f>
        <v>78580</v>
      </c>
      <c r="C86" s="207">
        <f t="shared" si="11"/>
        <v>133.84746093053005</v>
      </c>
      <c r="D86" s="212">
        <f t="shared" si="28"/>
        <v>1.9636678200692037</v>
      </c>
      <c r="E86" s="212">
        <f t="shared" si="29"/>
        <v>1.9636678200692037</v>
      </c>
      <c r="F86" s="213">
        <f t="shared" si="30"/>
        <v>3.6675461741424664</v>
      </c>
      <c r="G86" s="211">
        <f t="shared" si="27"/>
        <v>7.2764505119453871</v>
      </c>
      <c r="H86" s="209">
        <f>+B$212/B86</f>
        <v>1.1911003648086875</v>
      </c>
    </row>
    <row r="87" spans="1:8" ht="15" hidden="1">
      <c r="A87" s="230" t="s">
        <v>191</v>
      </c>
      <c r="B87" s="231">
        <f>[132]CARROCERIA!$D$21</f>
        <v>77180</v>
      </c>
      <c r="C87" s="207">
        <f t="shared" si="11"/>
        <v>131.46280268030426</v>
      </c>
      <c r="D87" s="212">
        <f t="shared" si="28"/>
        <v>-1.7816238228556935</v>
      </c>
      <c r="E87" s="212">
        <f t="shared" si="29"/>
        <v>0.14705882352941124</v>
      </c>
      <c r="F87" s="213">
        <f t="shared" si="30"/>
        <v>1.8541735400857684</v>
      </c>
      <c r="G87" s="211">
        <f t="shared" si="27"/>
        <v>4.0629213483146076</v>
      </c>
      <c r="H87" s="209">
        <f>+B$212/B87</f>
        <v>1.2127062278655956</v>
      </c>
    </row>
    <row r="88" spans="1:8" ht="15" hidden="1">
      <c r="A88" s="230" t="s">
        <v>192</v>
      </c>
      <c r="B88" s="231">
        <f>[133]CARROCERIA!$D$21</f>
        <v>77180</v>
      </c>
      <c r="C88" s="207">
        <f t="shared" si="11"/>
        <v>131.46280268030426</v>
      </c>
      <c r="D88" s="212">
        <f t="shared" ref="D88:D94" si="31">100*(C88/C87-1)</f>
        <v>0</v>
      </c>
      <c r="E88" s="212">
        <f t="shared" si="29"/>
        <v>0.14705882352941124</v>
      </c>
      <c r="F88" s="213">
        <f t="shared" si="30"/>
        <v>2.2679410335335604E-2</v>
      </c>
      <c r="G88" s="211">
        <f t="shared" si="27"/>
        <v>4.8641304347825987</v>
      </c>
      <c r="H88" s="209">
        <f>+B$212/B88</f>
        <v>1.2127062278655956</v>
      </c>
    </row>
    <row r="89" spans="1:8" ht="15" hidden="1">
      <c r="A89" s="230" t="s">
        <v>193</v>
      </c>
      <c r="B89" s="231">
        <f>[134]CARROCERIA!$D$21</f>
        <v>77180</v>
      </c>
      <c r="C89" s="207">
        <f t="shared" si="11"/>
        <v>131.46280268030426</v>
      </c>
      <c r="D89" s="212">
        <f t="shared" si="31"/>
        <v>0</v>
      </c>
      <c r="E89" s="212">
        <f t="shared" si="29"/>
        <v>0.14705882352941124</v>
      </c>
      <c r="F89" s="213">
        <f t="shared" si="30"/>
        <v>1.3193304890055657</v>
      </c>
      <c r="G89" s="211">
        <f t="shared" si="27"/>
        <v>3.4815642458100537</v>
      </c>
      <c r="H89" s="209">
        <f>+B$212/B89</f>
        <v>1.2127062278655956</v>
      </c>
    </row>
    <row r="90" spans="1:8" ht="15" hidden="1">
      <c r="A90" s="230" t="s">
        <v>194</v>
      </c>
      <c r="B90" s="231">
        <f>[135]CARROCERIA!$D$21</f>
        <v>77557.142857142855</v>
      </c>
      <c r="C90" s="207">
        <f t="shared" si="11"/>
        <v>132.10520041301814</v>
      </c>
      <c r="D90" s="212">
        <f t="shared" si="31"/>
        <v>0.48865361122421014</v>
      </c>
      <c r="E90" s="212">
        <f t="shared" ref="E90:E95" si="32">100*(C90/C$83-1)</f>
        <v>0.63643104300541431</v>
      </c>
      <c r="F90" s="213">
        <f t="shared" ref="F90:F101" si="33">(100*(C90/C78-1))</f>
        <v>1.8144310563082966</v>
      </c>
      <c r="G90" s="211">
        <f t="shared" si="27"/>
        <v>3.3406300561530378</v>
      </c>
      <c r="H90" s="209">
        <f>+B$212/B90</f>
        <v>1.2068091115613682</v>
      </c>
    </row>
    <row r="91" spans="1:8" ht="15" hidden="1">
      <c r="A91" s="230" t="s">
        <v>195</v>
      </c>
      <c r="B91" s="231">
        <f>[136]CARROCERIA!$D$21</f>
        <v>77164.28571428571</v>
      </c>
      <c r="C91" s="207">
        <f t="shared" si="11"/>
        <v>131.43603610810786</v>
      </c>
      <c r="D91" s="212">
        <f t="shared" si="31"/>
        <v>-0.50653895745071953</v>
      </c>
      <c r="E91" s="212">
        <f t="shared" si="32"/>
        <v>0.12666831438457038</v>
      </c>
      <c r="F91" s="213">
        <f t="shared" si="33"/>
        <v>1.1880044335513817</v>
      </c>
      <c r="G91" s="211">
        <f t="shared" si="27"/>
        <v>1.988217967599426</v>
      </c>
      <c r="H91" s="209">
        <f>+B$212/B91</f>
        <v>1.212953192014564</v>
      </c>
    </row>
    <row r="92" spans="1:8" ht="15" hidden="1">
      <c r="A92" s="230" t="s">
        <v>196</v>
      </c>
      <c r="B92" s="231">
        <f>[137]CARROCERIA!$D$21</f>
        <v>77164.28571428571</v>
      </c>
      <c r="C92" s="207">
        <f t="shared" si="11"/>
        <v>131.43603610810786</v>
      </c>
      <c r="D92" s="212">
        <f t="shared" si="31"/>
        <v>0</v>
      </c>
      <c r="E92" s="212">
        <f t="shared" si="32"/>
        <v>0.12666831438457038</v>
      </c>
      <c r="F92" s="213">
        <f t="shared" si="33"/>
        <v>1.0775492382303797</v>
      </c>
      <c r="G92" s="211">
        <f t="shared" si="27"/>
        <v>2.4758110415480816</v>
      </c>
      <c r="H92" s="209">
        <f>+B$212/B92</f>
        <v>1.212953192014564</v>
      </c>
    </row>
    <row r="93" spans="1:8" ht="15" hidden="1">
      <c r="A93" s="230" t="s">
        <v>197</v>
      </c>
      <c r="B93" s="231">
        <f>[138]CARROCERIA!$D$21</f>
        <v>77164.28571428571</v>
      </c>
      <c r="C93" s="207">
        <f t="shared" si="11"/>
        <v>131.43603610810786</v>
      </c>
      <c r="D93" s="212">
        <f t="shared" si="31"/>
        <v>0</v>
      </c>
      <c r="E93" s="212">
        <f t="shared" si="32"/>
        <v>0.12666831438457038</v>
      </c>
      <c r="F93" s="213">
        <f t="shared" si="33"/>
        <v>0.74762578298646076</v>
      </c>
      <c r="G93" s="211">
        <f t="shared" si="27"/>
        <v>1.7998492272898625</v>
      </c>
      <c r="H93" s="209">
        <f>+B$212/B93</f>
        <v>1.212953192014564</v>
      </c>
    </row>
    <row r="94" spans="1:8" ht="15" hidden="1">
      <c r="A94" s="230" t="s">
        <v>198</v>
      </c>
      <c r="B94" s="231">
        <f>[139]CARROCERIA!$D$21</f>
        <v>77164.28571428571</v>
      </c>
      <c r="C94" s="207">
        <f t="shared" si="11"/>
        <v>131.43603610810786</v>
      </c>
      <c r="D94" s="212">
        <f t="shared" si="31"/>
        <v>0</v>
      </c>
      <c r="E94" s="212">
        <f t="shared" si="32"/>
        <v>0.12666831438457038</v>
      </c>
      <c r="F94" s="213">
        <f t="shared" si="33"/>
        <v>0.39807314013102779</v>
      </c>
      <c r="G94" s="211">
        <f t="shared" si="27"/>
        <v>2.0691609977324221</v>
      </c>
      <c r="H94" s="209">
        <f>+B$212/B94</f>
        <v>1.212953192014564</v>
      </c>
    </row>
    <row r="95" spans="1:8" ht="15" hidden="1">
      <c r="A95" s="230" t="s">
        <v>199</v>
      </c>
      <c r="B95" s="231">
        <f>[140]CARROCERIA!$D$21</f>
        <v>77164.28571428571</v>
      </c>
      <c r="C95" s="207">
        <f t="shared" si="11"/>
        <v>131.43603610810786</v>
      </c>
      <c r="D95" s="212">
        <f t="shared" ref="D95:D101" si="34">100*(C95/C94-1)</f>
        <v>0</v>
      </c>
      <c r="E95" s="212">
        <f t="shared" si="32"/>
        <v>0.12666831438457038</v>
      </c>
      <c r="F95" s="213">
        <f t="shared" si="33"/>
        <v>0.12666831438457038</v>
      </c>
      <c r="G95" s="211">
        <f t="shared" si="27"/>
        <v>1.7998492272898625</v>
      </c>
      <c r="H95" s="209">
        <f>+B$212/B95</f>
        <v>1.212953192014564</v>
      </c>
    </row>
    <row r="96" spans="1:8" ht="16.5" customHeight="1">
      <c r="A96" s="232" t="s">
        <v>200</v>
      </c>
      <c r="B96" s="231">
        <f>[141]CARROCERIA!$D$21</f>
        <v>77414.28571428571</v>
      </c>
      <c r="C96" s="207">
        <f t="shared" si="11"/>
        <v>131.8618679385053</v>
      </c>
      <c r="D96" s="214">
        <f t="shared" si="34"/>
        <v>0.32398407849669741</v>
      </c>
      <c r="E96" s="214">
        <f t="shared" ref="E96:E101" si="35">100*(C96/C$95-1)</f>
        <v>0.32398407849669741</v>
      </c>
      <c r="F96" s="215">
        <f t="shared" si="33"/>
        <v>0.45106277805238015</v>
      </c>
      <c r="G96" s="216">
        <f t="shared" si="27"/>
        <v>3.2465800403916889</v>
      </c>
      <c r="H96" s="209">
        <f>+B$212/B96</f>
        <v>1.2090361075229132</v>
      </c>
    </row>
    <row r="97" spans="1:9" ht="16.5" customHeight="1">
      <c r="A97" s="232" t="s">
        <v>201</v>
      </c>
      <c r="B97" s="231">
        <f>[142]CARROCERIA!$D$21</f>
        <v>77414.28571428571</v>
      </c>
      <c r="C97" s="207">
        <f t="shared" si="11"/>
        <v>131.8618679385053</v>
      </c>
      <c r="D97" s="214">
        <f t="shared" si="34"/>
        <v>0</v>
      </c>
      <c r="E97" s="214">
        <f t="shared" si="35"/>
        <v>0.32398407849669741</v>
      </c>
      <c r="F97" s="215">
        <f t="shared" si="33"/>
        <v>0.45106277805238015</v>
      </c>
      <c r="G97" s="216">
        <f t="shared" si="27"/>
        <v>1.2480848996674121</v>
      </c>
      <c r="H97" s="209">
        <f>+B$212/B97</f>
        <v>1.2090361075229132</v>
      </c>
    </row>
    <row r="98" spans="1:9" ht="16.5" customHeight="1">
      <c r="A98" s="232" t="s">
        <v>202</v>
      </c>
      <c r="B98" s="231">
        <f>[143]CARROCERIA!$D$21</f>
        <v>77566.666666666672</v>
      </c>
      <c r="C98" s="207">
        <f t="shared" si="11"/>
        <v>132.1214225779857</v>
      </c>
      <c r="D98" s="214">
        <f t="shared" si="34"/>
        <v>0.19683828504646339</v>
      </c>
      <c r="E98" s="214">
        <f t="shared" si="35"/>
        <v>0.52146008824711654</v>
      </c>
      <c r="F98" s="215">
        <f t="shared" si="33"/>
        <v>-1.2895562908288638</v>
      </c>
      <c r="G98" s="216">
        <f t="shared" si="27"/>
        <v>2.3306948109059089</v>
      </c>
      <c r="H98" s="209">
        <f t="shared" ref="H98:H161" si="36">+B$212/B98</f>
        <v>1.2066609368285346</v>
      </c>
    </row>
    <row r="99" spans="1:9" ht="16.5" customHeight="1">
      <c r="A99" s="232" t="s">
        <v>203</v>
      </c>
      <c r="B99" s="231">
        <f>[144]CARROCERIA!$D$21</f>
        <v>78233.333333333328</v>
      </c>
      <c r="C99" s="207">
        <f t="shared" si="11"/>
        <v>133.25697412571225</v>
      </c>
      <c r="D99" s="214">
        <f t="shared" si="34"/>
        <v>0.85947571981090931</v>
      </c>
      <c r="E99" s="214">
        <f t="shared" si="35"/>
        <v>1.3854176309050059</v>
      </c>
      <c r="F99" s="215">
        <f t="shared" si="33"/>
        <v>1.364774984883832</v>
      </c>
      <c r="G99" s="216">
        <f t="shared" si="27"/>
        <v>3.2442538216210348</v>
      </c>
      <c r="H99" s="209">
        <f t="shared" si="36"/>
        <v>1.196378355347252</v>
      </c>
    </row>
    <row r="100" spans="1:9" ht="16.5" customHeight="1">
      <c r="A100" s="232" t="s">
        <v>204</v>
      </c>
      <c r="B100" s="231">
        <f>[145]CARROCERIA!$D$21</f>
        <v>78233.333333333328</v>
      </c>
      <c r="C100" s="207">
        <f t="shared" si="11"/>
        <v>133.25697412571225</v>
      </c>
      <c r="D100" s="214">
        <f t="shared" si="34"/>
        <v>0</v>
      </c>
      <c r="E100" s="214">
        <f t="shared" si="35"/>
        <v>1.3854176309050059</v>
      </c>
      <c r="F100" s="215">
        <f t="shared" si="33"/>
        <v>1.364774984883832</v>
      </c>
      <c r="G100" s="216">
        <f t="shared" si="27"/>
        <v>1.3877639181381296</v>
      </c>
      <c r="H100" s="209">
        <f t="shared" si="36"/>
        <v>1.196378355347252</v>
      </c>
    </row>
    <row r="101" spans="1:9" ht="16.5" customHeight="1">
      <c r="A101" s="232" t="s">
        <v>205</v>
      </c>
      <c r="B101" s="231">
        <f>[146]CARROCERIA!$D$21</f>
        <v>78233.333333333328</v>
      </c>
      <c r="C101" s="207">
        <f t="shared" si="11"/>
        <v>133.25697412571225</v>
      </c>
      <c r="D101" s="214">
        <f t="shared" si="34"/>
        <v>0</v>
      </c>
      <c r="E101" s="214">
        <f t="shared" si="35"/>
        <v>1.3854176309050059</v>
      </c>
      <c r="F101" s="215">
        <f t="shared" si="33"/>
        <v>1.364774984883832</v>
      </c>
      <c r="G101" s="216">
        <f t="shared" si="27"/>
        <v>2.702111366371307</v>
      </c>
      <c r="H101" s="209">
        <f t="shared" si="36"/>
        <v>1.196378355347252</v>
      </c>
    </row>
    <row r="102" spans="1:9" ht="16.5" customHeight="1">
      <c r="A102" s="232" t="s">
        <v>206</v>
      </c>
      <c r="B102" s="231">
        <f>[147]CARROCERIA!$D$21</f>
        <v>78233.333333333328</v>
      </c>
      <c r="C102" s="207">
        <f t="shared" si="11"/>
        <v>133.25697412571225</v>
      </c>
      <c r="D102" s="214">
        <f t="shared" ref="D102:D109" si="37">100*(C102/C101-1)</f>
        <v>0</v>
      </c>
      <c r="E102" s="214">
        <f t="shared" ref="E102:E107" si="38">100*(C102/C$95-1)</f>
        <v>1.3854176309050059</v>
      </c>
      <c r="F102" s="215">
        <f t="shared" ref="F102:F109" si="39">(100*(C102/C90-1))</f>
        <v>0.87186099343035117</v>
      </c>
      <c r="G102" s="216">
        <f t="shared" ref="G102:G109" si="40">100*(C102/C78-1)</f>
        <v>2.702111366371307</v>
      </c>
      <c r="H102" s="209">
        <f t="shared" si="36"/>
        <v>1.196378355347252</v>
      </c>
    </row>
    <row r="103" spans="1:9" ht="16.5" customHeight="1">
      <c r="A103" s="232" t="s">
        <v>207</v>
      </c>
      <c r="B103" s="231">
        <f>[148]CARROCERIA!$D$21</f>
        <v>79066.666666666672</v>
      </c>
      <c r="C103" s="207">
        <f t="shared" si="11"/>
        <v>134.67641356037046</v>
      </c>
      <c r="D103" s="214">
        <f t="shared" si="37"/>
        <v>1.0651896037494835</v>
      </c>
      <c r="E103" s="214">
        <f t="shared" si="38"/>
        <v>2.4653645592273898</v>
      </c>
      <c r="F103" s="215">
        <f t="shared" si="39"/>
        <v>2.4653645592273898</v>
      </c>
      <c r="G103" s="216">
        <f t="shared" si="40"/>
        <v>3.6826576330456051</v>
      </c>
      <c r="H103" s="209">
        <f t="shared" si="36"/>
        <v>1.183768971332209</v>
      </c>
    </row>
    <row r="104" spans="1:9" ht="16.5" customHeight="1">
      <c r="A104" s="232" t="s">
        <v>208</v>
      </c>
      <c r="B104" s="231">
        <f>[149]CARROCERIA!$D$21</f>
        <v>79066.666666666672</v>
      </c>
      <c r="C104" s="207">
        <f t="shared" si="11"/>
        <v>134.67641356037046</v>
      </c>
      <c r="D104" s="214">
        <f t="shared" si="37"/>
        <v>0</v>
      </c>
      <c r="E104" s="214">
        <f t="shared" si="38"/>
        <v>2.4653645592273898</v>
      </c>
      <c r="F104" s="215">
        <f t="shared" si="39"/>
        <v>2.4653645592273898</v>
      </c>
      <c r="G104" s="216">
        <f t="shared" si="40"/>
        <v>3.5694793144853243</v>
      </c>
      <c r="H104" s="209">
        <f t="shared" si="36"/>
        <v>1.183768971332209</v>
      </c>
    </row>
    <row r="105" spans="1:9" ht="16.5" customHeight="1">
      <c r="A105" s="232" t="s">
        <v>209</v>
      </c>
      <c r="B105" s="231">
        <f>[150]CARROCERIA!$D$21</f>
        <v>79066.666666666672</v>
      </c>
      <c r="C105" s="207">
        <f t="shared" si="11"/>
        <v>134.67641356037046</v>
      </c>
      <c r="D105" s="214">
        <f t="shared" si="37"/>
        <v>0</v>
      </c>
      <c r="E105" s="214">
        <f t="shared" si="38"/>
        <v>2.4653645592273898</v>
      </c>
      <c r="F105" s="215">
        <f t="shared" si="39"/>
        <v>2.4653645592273898</v>
      </c>
      <c r="G105" s="216">
        <f t="shared" si="40"/>
        <v>3.2314220433032448</v>
      </c>
      <c r="H105" s="209">
        <f t="shared" si="36"/>
        <v>1.183768971332209</v>
      </c>
    </row>
    <row r="106" spans="1:9" ht="16.5" customHeight="1">
      <c r="A106" s="232" t="s">
        <v>210</v>
      </c>
      <c r="B106" s="231">
        <f>[151]CARROCERIA!$D$21</f>
        <v>79066.666666666672</v>
      </c>
      <c r="C106" s="207">
        <f t="shared" si="11"/>
        <v>134.67641356037046</v>
      </c>
      <c r="D106" s="214">
        <f t="shared" si="37"/>
        <v>0</v>
      </c>
      <c r="E106" s="214">
        <f t="shared" si="38"/>
        <v>2.4653645592273898</v>
      </c>
      <c r="F106" s="215">
        <f t="shared" si="39"/>
        <v>2.4653645592273898</v>
      </c>
      <c r="G106" s="216">
        <f t="shared" si="40"/>
        <v>2.8732516534750285</v>
      </c>
      <c r="H106" s="209">
        <f t="shared" si="36"/>
        <v>1.183768971332209</v>
      </c>
    </row>
    <row r="107" spans="1:9" ht="16.5" customHeight="1">
      <c r="A107" s="232" t="s">
        <v>211</v>
      </c>
      <c r="B107" s="231">
        <f>[152]CARROCERIA!$D$21</f>
        <v>79066.666666666672</v>
      </c>
      <c r="C107" s="207">
        <f t="shared" ref="C107:C113" si="41">(100*B107/B$8)*$F$53</f>
        <v>134.67641356037046</v>
      </c>
      <c r="D107" s="214">
        <f t="shared" si="37"/>
        <v>0</v>
      </c>
      <c r="E107" s="214">
        <f t="shared" si="38"/>
        <v>2.4653645592273898</v>
      </c>
      <c r="F107" s="215">
        <f t="shared" si="39"/>
        <v>2.4653645592273898</v>
      </c>
      <c r="G107" s="216">
        <f t="shared" si="40"/>
        <v>2.595155709342567</v>
      </c>
      <c r="H107" s="209">
        <f t="shared" si="36"/>
        <v>1.183768971332209</v>
      </c>
    </row>
    <row r="108" spans="1:9" ht="16.5" customHeight="1">
      <c r="A108" s="232" t="s">
        <v>212</v>
      </c>
      <c r="B108" s="231">
        <f>[153]CARROCERIA!$D$21</f>
        <v>79066.666666666672</v>
      </c>
      <c r="C108" s="207">
        <f t="shared" si="41"/>
        <v>134.67641356037046</v>
      </c>
      <c r="D108" s="214">
        <f t="shared" si="37"/>
        <v>0</v>
      </c>
      <c r="E108" s="214">
        <f t="shared" ref="E108:E113" si="42">100*(C108/C$107-1)</f>
        <v>0</v>
      </c>
      <c r="F108" s="215">
        <f t="shared" si="39"/>
        <v>2.1344651534723758</v>
      </c>
      <c r="G108" s="216">
        <f t="shared" si="40"/>
        <v>2.595155709342567</v>
      </c>
      <c r="H108" s="209">
        <f t="shared" si="36"/>
        <v>1.183768971332209</v>
      </c>
    </row>
    <row r="109" spans="1:9" ht="16.5" customHeight="1">
      <c r="A109" s="232" t="s">
        <v>213</v>
      </c>
      <c r="B109" s="231">
        <f>[154]CARROCERIA!$D$21</f>
        <v>79358.333333333328</v>
      </c>
      <c r="C109" s="207">
        <f t="shared" si="41"/>
        <v>135.17321736250082</v>
      </c>
      <c r="D109" s="214">
        <f t="shared" si="37"/>
        <v>0.36888701517705513</v>
      </c>
      <c r="E109" s="214">
        <f t="shared" si="42"/>
        <v>0.36888701517705513</v>
      </c>
      <c r="F109" s="215">
        <f t="shared" si="39"/>
        <v>2.5112259334440834</v>
      </c>
      <c r="G109" s="216">
        <f t="shared" si="40"/>
        <v>2.9736159169550191</v>
      </c>
      <c r="H109" s="209">
        <f t="shared" si="36"/>
        <v>1.1794182505512969</v>
      </c>
      <c r="I109" s="149"/>
    </row>
    <row r="110" spans="1:9" ht="16.5" customHeight="1">
      <c r="A110" s="232" t="s">
        <v>214</v>
      </c>
      <c r="B110" s="231">
        <f>[155]CARROCERIA!$D$21</f>
        <v>79875</v>
      </c>
      <c r="C110" s="207">
        <f t="shared" si="41"/>
        <v>136.05326981198891</v>
      </c>
      <c r="D110" s="214">
        <f t="shared" ref="D110:D116" si="43">100*(C110/C109-1)</f>
        <v>0.65105533970388763</v>
      </c>
      <c r="E110" s="214">
        <f t="shared" si="42"/>
        <v>1.022344013490728</v>
      </c>
      <c r="F110" s="215">
        <f t="shared" ref="F110:F115" si="44">(100*(C110/C98-1))</f>
        <v>2.9759346798452935</v>
      </c>
      <c r="G110" s="216">
        <f t="shared" ref="G110:G115" si="45">100*(C110/C86-1)</f>
        <v>1.6480020361415271</v>
      </c>
      <c r="H110" s="209">
        <f t="shared" si="36"/>
        <v>1.1717892540427752</v>
      </c>
    </row>
    <row r="111" spans="1:9" ht="16.5" customHeight="1">
      <c r="A111" s="232" t="s">
        <v>215</v>
      </c>
      <c r="B111" s="231">
        <f>[156]CARROCERIA!$D$21</f>
        <v>79875</v>
      </c>
      <c r="C111" s="207">
        <f t="shared" si="41"/>
        <v>136.05326981198891</v>
      </c>
      <c r="D111" s="214">
        <f t="shared" si="43"/>
        <v>0</v>
      </c>
      <c r="E111" s="214">
        <f t="shared" si="42"/>
        <v>1.022344013490728</v>
      </c>
      <c r="F111" s="215">
        <f t="shared" si="44"/>
        <v>2.0984235193864498</v>
      </c>
      <c r="G111" s="216">
        <f t="shared" si="45"/>
        <v>3.4918372635397876</v>
      </c>
      <c r="H111" s="209">
        <f t="shared" si="36"/>
        <v>1.1717892540427752</v>
      </c>
    </row>
    <row r="112" spans="1:9" ht="16.5" customHeight="1">
      <c r="A112" s="232" t="s">
        <v>216</v>
      </c>
      <c r="B112" s="231">
        <f>[157]CARROCERIA!$D$21</f>
        <v>79875</v>
      </c>
      <c r="C112" s="207">
        <f t="shared" si="41"/>
        <v>136.05326981198891</v>
      </c>
      <c r="D112" s="214">
        <f t="shared" si="43"/>
        <v>0</v>
      </c>
      <c r="E112" s="214">
        <f t="shared" si="42"/>
        <v>1.022344013490728</v>
      </c>
      <c r="F112" s="215">
        <f t="shared" si="44"/>
        <v>2.0984235193864498</v>
      </c>
      <c r="G112" s="216">
        <f t="shared" si="45"/>
        <v>3.4918372635397876</v>
      </c>
      <c r="H112" s="209">
        <f t="shared" si="36"/>
        <v>1.1717892540427752</v>
      </c>
    </row>
    <row r="113" spans="1:8" ht="16.5" customHeight="1">
      <c r="A113" s="232" t="s">
        <v>217</v>
      </c>
      <c r="B113" s="231">
        <f>[158]CARROCERIA!$D$21</f>
        <v>79541.666666666672</v>
      </c>
      <c r="C113" s="207">
        <f t="shared" si="41"/>
        <v>135.48549403812561</v>
      </c>
      <c r="D113" s="214">
        <f t="shared" si="43"/>
        <v>-0.41731872717789553</v>
      </c>
      <c r="E113" s="214">
        <f t="shared" si="42"/>
        <v>0.60075885328834122</v>
      </c>
      <c r="F113" s="215">
        <f t="shared" si="44"/>
        <v>1.6723476778866431</v>
      </c>
      <c r="G113" s="216">
        <f t="shared" si="45"/>
        <v>3.0599464455385528</v>
      </c>
      <c r="H113" s="209">
        <f t="shared" si="36"/>
        <v>1.1766998428496596</v>
      </c>
    </row>
    <row r="114" spans="1:8" ht="16.5" customHeight="1">
      <c r="A114" s="232" t="s">
        <v>218</v>
      </c>
      <c r="B114" s="231">
        <f>[159]CARROCERIA!$D$21</f>
        <v>79541.666666666672</v>
      </c>
      <c r="C114" s="207">
        <f t="shared" ref="C114:C119" si="46">(100*B114/B$8)*$F$53</f>
        <v>135.48549403812561</v>
      </c>
      <c r="D114" s="214">
        <f t="shared" si="43"/>
        <v>0</v>
      </c>
      <c r="E114" s="214">
        <f t="shared" ref="E114:E119" si="47">100*(C114/C$107-1)</f>
        <v>0.60075885328834122</v>
      </c>
      <c r="F114" s="215">
        <f t="shared" si="44"/>
        <v>1.6723476778866431</v>
      </c>
      <c r="G114" s="216">
        <f t="shared" si="45"/>
        <v>2.5587892183950522</v>
      </c>
      <c r="H114" s="209">
        <f t="shared" si="36"/>
        <v>1.1766998428496596</v>
      </c>
    </row>
    <row r="115" spans="1:8" ht="16.5" customHeight="1">
      <c r="A115" s="232" t="s">
        <v>219</v>
      </c>
      <c r="B115" s="231">
        <f>[160]CARROCERIA!$D$21</f>
        <v>79541.666666666672</v>
      </c>
      <c r="C115" s="207">
        <f t="shared" si="46"/>
        <v>135.48549403812561</v>
      </c>
      <c r="D115" s="214">
        <f t="shared" si="43"/>
        <v>0</v>
      </c>
      <c r="E115" s="214">
        <f t="shared" si="47"/>
        <v>0.60075885328834122</v>
      </c>
      <c r="F115" s="215">
        <f t="shared" si="44"/>
        <v>0.60075885328834122</v>
      </c>
      <c r="G115" s="216">
        <f t="shared" si="45"/>
        <v>3.0809343083711305</v>
      </c>
      <c r="H115" s="209">
        <f t="shared" si="36"/>
        <v>1.1766998428496596</v>
      </c>
    </row>
    <row r="116" spans="1:8" ht="16.5" customHeight="1">
      <c r="A116" s="232" t="s">
        <v>220</v>
      </c>
      <c r="B116" s="231">
        <f>[161]CARROCERIA!$D$21</f>
        <v>81541.666666666672</v>
      </c>
      <c r="C116" s="207">
        <f t="shared" si="46"/>
        <v>138.89214868130531</v>
      </c>
      <c r="D116" s="214">
        <f t="shared" si="43"/>
        <v>2.5144054478784872</v>
      </c>
      <c r="E116" s="214">
        <f t="shared" si="47"/>
        <v>3.1302698145025065</v>
      </c>
      <c r="F116" s="215">
        <f t="shared" ref="F116:F121" si="48">(100*(C116/C104-1))</f>
        <v>3.1302698145025065</v>
      </c>
      <c r="G116" s="216">
        <f t="shared" ref="G116:G121" si="49">100*(C116/C92-1)</f>
        <v>5.672806936344843</v>
      </c>
      <c r="H116" s="209">
        <f t="shared" si="36"/>
        <v>1.1478385283597343</v>
      </c>
    </row>
    <row r="117" spans="1:8" ht="16.5" customHeight="1">
      <c r="A117" s="232" t="s">
        <v>221</v>
      </c>
      <c r="B117" s="231">
        <f>[162]CARROCERIA!$D$21</f>
        <v>81541.666666666672</v>
      </c>
      <c r="C117" s="207">
        <f t="shared" si="46"/>
        <v>138.89214868130531</v>
      </c>
      <c r="D117" s="214">
        <f t="shared" ref="D117:D123" si="50">100*(C117/C116-1)</f>
        <v>0</v>
      </c>
      <c r="E117" s="214">
        <f t="shared" si="47"/>
        <v>3.1302698145025065</v>
      </c>
      <c r="F117" s="215">
        <f t="shared" si="48"/>
        <v>3.1302698145025065</v>
      </c>
      <c r="G117" s="216">
        <f t="shared" si="49"/>
        <v>5.672806936344843</v>
      </c>
      <c r="H117" s="209">
        <f t="shared" si="36"/>
        <v>1.1478385283597343</v>
      </c>
    </row>
    <row r="118" spans="1:8" ht="16.5" customHeight="1">
      <c r="A118" s="232" t="s">
        <v>222</v>
      </c>
      <c r="B118" s="231">
        <f>[163]CARROCERIA!$D$21</f>
        <v>81541.666666666672</v>
      </c>
      <c r="C118" s="207">
        <f t="shared" si="46"/>
        <v>138.89214868130531</v>
      </c>
      <c r="D118" s="214">
        <f t="shared" si="50"/>
        <v>0</v>
      </c>
      <c r="E118" s="214">
        <f t="shared" si="47"/>
        <v>3.1302698145025065</v>
      </c>
      <c r="F118" s="215">
        <f t="shared" si="48"/>
        <v>3.1302698145025065</v>
      </c>
      <c r="G118" s="216">
        <f t="shared" si="49"/>
        <v>5.672806936344843</v>
      </c>
      <c r="H118" s="209">
        <f t="shared" si="36"/>
        <v>1.1478385283597343</v>
      </c>
    </row>
    <row r="119" spans="1:8" ht="16.5" customHeight="1">
      <c r="A119" s="232" t="s">
        <v>223</v>
      </c>
      <c r="B119" s="231">
        <f>[164]CARROCERIA!$D$21</f>
        <v>81541.666666666672</v>
      </c>
      <c r="C119" s="207">
        <f t="shared" si="46"/>
        <v>138.89214868130531</v>
      </c>
      <c r="D119" s="214">
        <f t="shared" si="50"/>
        <v>0</v>
      </c>
      <c r="E119" s="214">
        <f t="shared" si="47"/>
        <v>3.1302698145025065</v>
      </c>
      <c r="F119" s="215">
        <f t="shared" si="48"/>
        <v>3.1302698145025065</v>
      </c>
      <c r="G119" s="216">
        <f t="shared" si="49"/>
        <v>5.672806936344843</v>
      </c>
      <c r="H119" s="209">
        <f t="shared" si="36"/>
        <v>1.1478385283597343</v>
      </c>
    </row>
    <row r="120" spans="1:8" ht="16.5" customHeight="1">
      <c r="A120" s="232" t="s">
        <v>224</v>
      </c>
      <c r="B120" s="231">
        <f>[165]CARROCERIA!$D$21</f>
        <v>81541.666666666672</v>
      </c>
      <c r="C120" s="207">
        <f t="shared" ref="C120:C125" si="51">(100*B120/B$8)*$F$53</f>
        <v>138.89214868130531</v>
      </c>
      <c r="D120" s="214">
        <f t="shared" si="50"/>
        <v>0</v>
      </c>
      <c r="E120" s="214">
        <f t="shared" ref="E120:E125" si="52">100*(C120/C$119-1)</f>
        <v>0</v>
      </c>
      <c r="F120" s="215">
        <f t="shared" si="48"/>
        <v>3.1302698145025065</v>
      </c>
      <c r="G120" s="216">
        <f t="shared" si="49"/>
        <v>5.3315494863751089</v>
      </c>
      <c r="H120" s="209">
        <f t="shared" si="36"/>
        <v>1.1478385283597343</v>
      </c>
    </row>
    <row r="121" spans="1:8" ht="16.5" customHeight="1">
      <c r="A121" s="232" t="s">
        <v>225</v>
      </c>
      <c r="B121" s="231">
        <f>[166]CARROCERIA!$D$21</f>
        <v>81541.666666666672</v>
      </c>
      <c r="C121" s="207">
        <f t="shared" si="51"/>
        <v>138.89214868130531</v>
      </c>
      <c r="D121" s="214">
        <f t="shared" si="50"/>
        <v>0</v>
      </c>
      <c r="E121" s="214">
        <f t="shared" si="52"/>
        <v>0</v>
      </c>
      <c r="F121" s="215">
        <f t="shared" si="48"/>
        <v>2.7512338548776549</v>
      </c>
      <c r="G121" s="216">
        <f t="shared" si="49"/>
        <v>5.3315494863751089</v>
      </c>
      <c r="H121" s="209">
        <f t="shared" si="36"/>
        <v>1.1478385283597343</v>
      </c>
    </row>
    <row r="122" spans="1:8" ht="16.5" customHeight="1">
      <c r="A122" s="232" t="s">
        <v>226</v>
      </c>
      <c r="B122" s="231">
        <f>[167]CARROCERIA!$D$21</f>
        <v>81541.666666666672</v>
      </c>
      <c r="C122" s="207">
        <f t="shared" si="51"/>
        <v>138.89214868130531</v>
      </c>
      <c r="D122" s="214">
        <f t="shared" si="50"/>
        <v>0</v>
      </c>
      <c r="E122" s="214">
        <f t="shared" si="52"/>
        <v>0</v>
      </c>
      <c r="F122" s="215">
        <f t="shared" ref="F122:F127" si="53">(100*(C122/C110-1))</f>
        <v>2.086593635889411</v>
      </c>
      <c r="G122" s="216">
        <f t="shared" ref="G122:G127" si="54">100*(C122/C98-1)</f>
        <v>5.1246239793725668</v>
      </c>
      <c r="H122" s="209">
        <f t="shared" si="36"/>
        <v>1.1478385283597343</v>
      </c>
    </row>
    <row r="123" spans="1:8" ht="16.5" customHeight="1">
      <c r="A123" s="232" t="s">
        <v>227</v>
      </c>
      <c r="B123" s="231">
        <f>[168]CARROCERIA!$D$21</f>
        <v>81541.666666666672</v>
      </c>
      <c r="C123" s="207">
        <f t="shared" si="51"/>
        <v>138.89214868130531</v>
      </c>
      <c r="D123" s="214">
        <f t="shared" si="50"/>
        <v>0</v>
      </c>
      <c r="E123" s="214">
        <f t="shared" si="52"/>
        <v>0</v>
      </c>
      <c r="F123" s="215">
        <f t="shared" si="53"/>
        <v>2.086593635889411</v>
      </c>
      <c r="G123" s="216">
        <f t="shared" si="54"/>
        <v>4.2288027268853723</v>
      </c>
      <c r="H123" s="209">
        <f t="shared" si="36"/>
        <v>1.1478385283597343</v>
      </c>
    </row>
    <row r="124" spans="1:8" ht="16.5" customHeight="1">
      <c r="A124" s="232" t="s">
        <v>228</v>
      </c>
      <c r="B124" s="231">
        <f>[169]CARROCERIA!$D$21</f>
        <v>81541.666666666672</v>
      </c>
      <c r="C124" s="207">
        <f t="shared" si="51"/>
        <v>138.89214868130531</v>
      </c>
      <c r="D124" s="214">
        <f t="shared" ref="D124:D129" si="55">100*(C124/C123-1)</f>
        <v>0</v>
      </c>
      <c r="E124" s="214">
        <f t="shared" si="52"/>
        <v>0</v>
      </c>
      <c r="F124" s="215">
        <f t="shared" si="53"/>
        <v>2.086593635889411</v>
      </c>
      <c r="G124" s="216">
        <f t="shared" si="54"/>
        <v>4.2288027268853723</v>
      </c>
      <c r="H124" s="209">
        <f t="shared" si="36"/>
        <v>1.1478385283597343</v>
      </c>
    </row>
    <row r="125" spans="1:8" ht="16.5" customHeight="1">
      <c r="A125" s="232" t="s">
        <v>229</v>
      </c>
      <c r="B125" s="231">
        <f>[170]CARROCERIA!$D$21</f>
        <v>81541.666666666672</v>
      </c>
      <c r="C125" s="207">
        <f t="shared" si="51"/>
        <v>138.89214868130531</v>
      </c>
      <c r="D125" s="214">
        <f t="shared" si="55"/>
        <v>0</v>
      </c>
      <c r="E125" s="214">
        <f t="shared" si="52"/>
        <v>0</v>
      </c>
      <c r="F125" s="215">
        <f t="shared" si="53"/>
        <v>2.5144054478784872</v>
      </c>
      <c r="G125" s="216">
        <f t="shared" si="54"/>
        <v>4.2288027268853723</v>
      </c>
      <c r="H125" s="209">
        <f t="shared" si="36"/>
        <v>1.1478385283597343</v>
      </c>
    </row>
    <row r="126" spans="1:8" ht="16.5" customHeight="1">
      <c r="A126" s="232" t="s">
        <v>230</v>
      </c>
      <c r="B126" s="231">
        <f>[171]CARROCERIA!$D$21</f>
        <v>81541.666666666672</v>
      </c>
      <c r="C126" s="207">
        <f t="shared" ref="C126:C132" si="56">(100*B126/B$8)*$F$53</f>
        <v>138.89214868130531</v>
      </c>
      <c r="D126" s="214">
        <f t="shared" si="55"/>
        <v>0</v>
      </c>
      <c r="E126" s="214">
        <f t="shared" ref="E126:E131" si="57">100*(C126/C$119-1)</f>
        <v>0</v>
      </c>
      <c r="F126" s="215">
        <f t="shared" si="53"/>
        <v>2.5144054478784872</v>
      </c>
      <c r="G126" s="216">
        <f t="shared" si="54"/>
        <v>4.2288027268853723</v>
      </c>
      <c r="H126" s="209">
        <f t="shared" si="36"/>
        <v>1.1478385283597343</v>
      </c>
    </row>
    <row r="127" spans="1:8" ht="16.5" customHeight="1">
      <c r="A127" s="232" t="s">
        <v>231</v>
      </c>
      <c r="B127" s="231">
        <f>[172]CARROCERIA!$D$21</f>
        <v>81541.666666666672</v>
      </c>
      <c r="C127" s="207">
        <f t="shared" si="56"/>
        <v>138.89214868130531</v>
      </c>
      <c r="D127" s="214">
        <f t="shared" si="55"/>
        <v>0</v>
      </c>
      <c r="E127" s="214">
        <f t="shared" si="57"/>
        <v>0</v>
      </c>
      <c r="F127" s="215">
        <f t="shared" si="53"/>
        <v>2.5144054478784872</v>
      </c>
      <c r="G127" s="216">
        <f t="shared" si="54"/>
        <v>3.1302698145025065</v>
      </c>
      <c r="H127" s="209">
        <f t="shared" si="36"/>
        <v>1.1478385283597343</v>
      </c>
    </row>
    <row r="128" spans="1:8" ht="16.5" customHeight="1">
      <c r="A128" s="232" t="s">
        <v>232</v>
      </c>
      <c r="B128" s="231">
        <f>[173]CARROCERIA!$D$21</f>
        <v>81541.666666666672</v>
      </c>
      <c r="C128" s="207">
        <f t="shared" si="56"/>
        <v>138.89214868130531</v>
      </c>
      <c r="D128" s="214">
        <f t="shared" si="55"/>
        <v>0</v>
      </c>
      <c r="E128" s="214">
        <f t="shared" si="57"/>
        <v>0</v>
      </c>
      <c r="F128" s="215">
        <f t="shared" ref="F128:F133" si="58">(100*(C128/C116-1))</f>
        <v>0</v>
      </c>
      <c r="G128" s="216">
        <f t="shared" ref="G128:G133" si="59">100*(C128/C104-1)</f>
        <v>3.1302698145025065</v>
      </c>
      <c r="H128" s="209">
        <f t="shared" si="36"/>
        <v>1.1478385283597343</v>
      </c>
    </row>
    <row r="129" spans="1:8" ht="16.5" customHeight="1">
      <c r="A129" s="232" t="s">
        <v>233</v>
      </c>
      <c r="B129" s="231">
        <f>[174]CARROCERIA!$D$21</f>
        <v>81541.666666666672</v>
      </c>
      <c r="C129" s="207">
        <f t="shared" si="56"/>
        <v>138.89214868130531</v>
      </c>
      <c r="D129" s="214">
        <f t="shared" si="55"/>
        <v>0</v>
      </c>
      <c r="E129" s="214">
        <f t="shared" si="57"/>
        <v>0</v>
      </c>
      <c r="F129" s="215">
        <f t="shared" si="58"/>
        <v>0</v>
      </c>
      <c r="G129" s="216">
        <f t="shared" si="59"/>
        <v>3.1302698145025065</v>
      </c>
      <c r="H129" s="209">
        <f t="shared" si="36"/>
        <v>1.1478385283597343</v>
      </c>
    </row>
    <row r="130" spans="1:8" ht="16.5" customHeight="1">
      <c r="A130" s="232" t="s">
        <v>234</v>
      </c>
      <c r="B130" s="231">
        <f>[175]CARROCERIA!$D$21</f>
        <v>81541.666666666672</v>
      </c>
      <c r="C130" s="207">
        <f t="shared" si="56"/>
        <v>138.89214868130531</v>
      </c>
      <c r="D130" s="214">
        <f t="shared" ref="D130:D135" si="60">100*(C130/C129-1)</f>
        <v>0</v>
      </c>
      <c r="E130" s="214">
        <f t="shared" si="57"/>
        <v>0</v>
      </c>
      <c r="F130" s="215">
        <f t="shared" si="58"/>
        <v>0</v>
      </c>
      <c r="G130" s="216">
        <f t="shared" si="59"/>
        <v>3.1302698145025065</v>
      </c>
      <c r="H130" s="209">
        <f t="shared" si="36"/>
        <v>1.1478385283597343</v>
      </c>
    </row>
    <row r="131" spans="1:8" ht="16.5" customHeight="1">
      <c r="A131" s="232" t="s">
        <v>235</v>
      </c>
      <c r="B131" s="231">
        <f>[176]CARROCERIA!$D$21</f>
        <v>81541.666666666672</v>
      </c>
      <c r="C131" s="207">
        <f t="shared" si="56"/>
        <v>138.89214868130531</v>
      </c>
      <c r="D131" s="214">
        <f t="shared" si="60"/>
        <v>0</v>
      </c>
      <c r="E131" s="214">
        <f t="shared" si="57"/>
        <v>0</v>
      </c>
      <c r="F131" s="215">
        <f t="shared" si="58"/>
        <v>0</v>
      </c>
      <c r="G131" s="216">
        <f t="shared" si="59"/>
        <v>3.1302698145025065</v>
      </c>
      <c r="H131" s="209">
        <f t="shared" si="36"/>
        <v>1.1478385283597343</v>
      </c>
    </row>
    <row r="132" spans="1:8" ht="16.5" customHeight="1">
      <c r="A132" s="232" t="s">
        <v>236</v>
      </c>
      <c r="B132" s="233">
        <f>[177]CARROCERIA!$D$21</f>
        <v>81541.666666666672</v>
      </c>
      <c r="C132" s="207">
        <f t="shared" si="56"/>
        <v>138.89214868130531</v>
      </c>
      <c r="D132" s="214">
        <f t="shared" si="60"/>
        <v>0</v>
      </c>
      <c r="E132" s="214">
        <f t="shared" ref="E132:E137" si="61">100*(C132/C$131-1)</f>
        <v>0</v>
      </c>
      <c r="F132" s="215">
        <f t="shared" si="58"/>
        <v>0</v>
      </c>
      <c r="G132" s="216">
        <f t="shared" si="59"/>
        <v>3.1302698145025065</v>
      </c>
      <c r="H132" s="209">
        <f t="shared" si="36"/>
        <v>1.1478385283597343</v>
      </c>
    </row>
    <row r="133" spans="1:8" ht="16.5" customHeight="1">
      <c r="A133" s="232" t="s">
        <v>237</v>
      </c>
      <c r="B133" s="233">
        <f>[178]CARROCERIA!$D$21</f>
        <v>81541.666666666672</v>
      </c>
      <c r="C133" s="207">
        <f t="shared" ref="C133:C138" si="62">(100*B133/B$8)*$F$53</f>
        <v>138.89214868130531</v>
      </c>
      <c r="D133" s="214">
        <f t="shared" si="60"/>
        <v>0</v>
      </c>
      <c r="E133" s="214">
        <f t="shared" si="61"/>
        <v>0</v>
      </c>
      <c r="F133" s="215">
        <f t="shared" si="58"/>
        <v>0</v>
      </c>
      <c r="G133" s="216">
        <f t="shared" si="59"/>
        <v>2.7512338548776549</v>
      </c>
      <c r="H133" s="209">
        <f t="shared" si="36"/>
        <v>1.1478385283597343</v>
      </c>
    </row>
    <row r="134" spans="1:8" ht="16.5" customHeight="1">
      <c r="A134" s="232" t="s">
        <v>238</v>
      </c>
      <c r="B134" s="233">
        <f>[179]CARROCERIA!$D$21</f>
        <v>81791.666666666672</v>
      </c>
      <c r="C134" s="207">
        <f t="shared" si="62"/>
        <v>139.31798051170279</v>
      </c>
      <c r="D134" s="214">
        <f t="shared" si="60"/>
        <v>0.30659172202351925</v>
      </c>
      <c r="E134" s="214">
        <f t="shared" si="61"/>
        <v>0.30659172202351925</v>
      </c>
      <c r="F134" s="215">
        <f t="shared" ref="F134:F139" si="63">(100*(C134/C122-1))</f>
        <v>0.30659172202351925</v>
      </c>
      <c r="G134" s="216">
        <f t="shared" ref="G134:G139" si="64">100*(C134/C110-1)</f>
        <v>2.3995826812728271</v>
      </c>
      <c r="H134" s="209">
        <f t="shared" si="36"/>
        <v>1.1443301069791136</v>
      </c>
    </row>
    <row r="135" spans="1:8" ht="16.5" customHeight="1">
      <c r="A135" s="232" t="s">
        <v>239</v>
      </c>
      <c r="B135" s="233">
        <f>[180]CARROCERIA!$D$21</f>
        <v>81791.666666666672</v>
      </c>
      <c r="C135" s="207">
        <f t="shared" si="62"/>
        <v>139.31798051170279</v>
      </c>
      <c r="D135" s="214">
        <f t="shared" si="60"/>
        <v>0</v>
      </c>
      <c r="E135" s="214">
        <f t="shared" si="61"/>
        <v>0.30659172202351925</v>
      </c>
      <c r="F135" s="215">
        <f t="shared" si="63"/>
        <v>0.30659172202351925</v>
      </c>
      <c r="G135" s="216">
        <f t="shared" si="64"/>
        <v>2.3995826812728271</v>
      </c>
      <c r="H135" s="209">
        <f t="shared" si="36"/>
        <v>1.1443301069791136</v>
      </c>
    </row>
    <row r="136" spans="1:8" ht="16.5" customHeight="1">
      <c r="A136" s="232" t="s">
        <v>240</v>
      </c>
      <c r="B136" s="233">
        <f>[181]CARROCERIA!$D$21</f>
        <v>82125</v>
      </c>
      <c r="C136" s="207">
        <f t="shared" si="62"/>
        <v>139.88575628556606</v>
      </c>
      <c r="D136" s="214">
        <f t="shared" ref="D136:D142" si="65">100*(C136/C135-1)</f>
        <v>0.40753948038716459</v>
      </c>
      <c r="E136" s="214">
        <f t="shared" si="61"/>
        <v>0.71538068472152272</v>
      </c>
      <c r="F136" s="215">
        <f t="shared" si="63"/>
        <v>0.71538068472152272</v>
      </c>
      <c r="G136" s="216">
        <f t="shared" si="64"/>
        <v>2.8169014084507005</v>
      </c>
      <c r="H136" s="209">
        <f t="shared" si="36"/>
        <v>1.1396854388635211</v>
      </c>
    </row>
    <row r="137" spans="1:8" ht="16.5" customHeight="1">
      <c r="A137" s="232" t="s">
        <v>241</v>
      </c>
      <c r="B137" s="233">
        <f>[182]CARROCERIA!$D$21</f>
        <v>82308.333333333328</v>
      </c>
      <c r="C137" s="207">
        <f t="shared" si="62"/>
        <v>140.19803296119088</v>
      </c>
      <c r="D137" s="214">
        <f t="shared" si="65"/>
        <v>0.22323693556571822</v>
      </c>
      <c r="E137" s="214">
        <f t="shared" si="61"/>
        <v>0.94021461420541463</v>
      </c>
      <c r="F137" s="215">
        <f t="shared" si="63"/>
        <v>0.94021461420541463</v>
      </c>
      <c r="G137" s="216">
        <f t="shared" si="64"/>
        <v>3.4782608695652417</v>
      </c>
      <c r="H137" s="209">
        <f t="shared" si="36"/>
        <v>1.1371469069555535</v>
      </c>
    </row>
    <row r="138" spans="1:8" ht="16.5" customHeight="1">
      <c r="A138" s="232" t="s">
        <v>242</v>
      </c>
      <c r="B138" s="233">
        <f>[183]CARROCERIA!$D$21</f>
        <v>84808.333333333328</v>
      </c>
      <c r="C138" s="207">
        <f t="shared" si="62"/>
        <v>144.45635126516544</v>
      </c>
      <c r="D138" s="214">
        <f t="shared" si="65"/>
        <v>3.0373595221220739</v>
      </c>
      <c r="E138" s="214">
        <f t="shared" ref="E138:E143" si="66">100*(C138/C$131-1)</f>
        <v>4.0061318344404517</v>
      </c>
      <c r="F138" s="215">
        <f t="shared" si="63"/>
        <v>4.0061318344404517</v>
      </c>
      <c r="G138" s="216">
        <f t="shared" si="64"/>
        <v>6.6212676794132896</v>
      </c>
      <c r="H138" s="209">
        <f t="shared" si="36"/>
        <v>1.1036258229340672</v>
      </c>
    </row>
    <row r="139" spans="1:8" ht="16.5" customHeight="1">
      <c r="A139" s="232" t="s">
        <v>243</v>
      </c>
      <c r="B139" s="233">
        <f>[184]CARROCERIA!$D$21</f>
        <v>84808.333333333328</v>
      </c>
      <c r="C139" s="207">
        <f t="shared" ref="C139:C144" si="67">(100*B139/B$8)*$F$53</f>
        <v>144.45635126516544</v>
      </c>
      <c r="D139" s="214">
        <f t="shared" si="65"/>
        <v>0</v>
      </c>
      <c r="E139" s="214">
        <f t="shared" si="66"/>
        <v>4.0061318344404517</v>
      </c>
      <c r="F139" s="215">
        <f t="shared" si="63"/>
        <v>4.0061318344404517</v>
      </c>
      <c r="G139" s="216">
        <f t="shared" si="64"/>
        <v>6.6212676794132896</v>
      </c>
      <c r="H139" s="209">
        <f t="shared" si="36"/>
        <v>1.1036258229340672</v>
      </c>
    </row>
    <row r="140" spans="1:8" ht="16.5" customHeight="1">
      <c r="A140" s="232" t="s">
        <v>244</v>
      </c>
      <c r="B140" s="233">
        <f>[185]CARROCERIA!$D$21</f>
        <v>84808.333333333328</v>
      </c>
      <c r="C140" s="207">
        <f t="shared" si="67"/>
        <v>144.45635126516544</v>
      </c>
      <c r="D140" s="214">
        <f t="shared" si="65"/>
        <v>0</v>
      </c>
      <c r="E140" s="214">
        <f t="shared" si="66"/>
        <v>4.0061318344404517</v>
      </c>
      <c r="F140" s="215">
        <f t="shared" ref="F140:F145" si="68">(100*(C140/C128-1))</f>
        <v>4.0061318344404517</v>
      </c>
      <c r="G140" s="216">
        <f t="shared" ref="G140:G145" si="69">100*(C140/C116-1)</f>
        <v>4.0061318344404517</v>
      </c>
      <c r="H140" s="209">
        <f t="shared" si="36"/>
        <v>1.1036258229340672</v>
      </c>
    </row>
    <row r="141" spans="1:8" ht="16.5" customHeight="1">
      <c r="A141" s="232" t="s">
        <v>245</v>
      </c>
      <c r="B141" s="233">
        <f>[186]CARROCERIA!$D$21</f>
        <v>84475</v>
      </c>
      <c r="C141" s="207">
        <f t="shared" si="67"/>
        <v>143.88857549130219</v>
      </c>
      <c r="D141" s="214">
        <f t="shared" si="65"/>
        <v>-0.39304313648420575</v>
      </c>
      <c r="E141" s="214">
        <f t="shared" si="66"/>
        <v>3.5973428717424705</v>
      </c>
      <c r="F141" s="215">
        <f t="shared" si="68"/>
        <v>3.5973428717424705</v>
      </c>
      <c r="G141" s="216">
        <f t="shared" si="69"/>
        <v>3.5973428717424705</v>
      </c>
      <c r="H141" s="209">
        <f t="shared" si="36"/>
        <v>1.1079806648909933</v>
      </c>
    </row>
    <row r="142" spans="1:8" ht="16.5" customHeight="1">
      <c r="A142" s="232" t="s">
        <v>246</v>
      </c>
      <c r="B142" s="233">
        <f>[187]CARROCERIA!$D$21</f>
        <v>84475</v>
      </c>
      <c r="C142" s="207">
        <f t="shared" si="67"/>
        <v>143.88857549130219</v>
      </c>
      <c r="D142" s="214">
        <f t="shared" si="65"/>
        <v>0</v>
      </c>
      <c r="E142" s="214">
        <f t="shared" si="66"/>
        <v>3.5973428717424705</v>
      </c>
      <c r="F142" s="215">
        <f t="shared" si="68"/>
        <v>3.5973428717424705</v>
      </c>
      <c r="G142" s="216">
        <f t="shared" si="69"/>
        <v>3.5973428717424705</v>
      </c>
      <c r="H142" s="209">
        <f t="shared" si="36"/>
        <v>1.1079806648909933</v>
      </c>
    </row>
    <row r="143" spans="1:8" ht="16.5" customHeight="1">
      <c r="A143" s="232" t="s">
        <v>247</v>
      </c>
      <c r="B143" s="233">
        <f>[188]CARROCERIA!$D$21</f>
        <v>84475</v>
      </c>
      <c r="C143" s="207">
        <f t="shared" si="67"/>
        <v>143.88857549130219</v>
      </c>
      <c r="D143" s="214">
        <f t="shared" ref="D143:D149" si="70">100*(C143/C142-1)</f>
        <v>0</v>
      </c>
      <c r="E143" s="214">
        <f t="shared" si="66"/>
        <v>3.5973428717424705</v>
      </c>
      <c r="F143" s="215">
        <f t="shared" si="68"/>
        <v>3.5973428717424705</v>
      </c>
      <c r="G143" s="216">
        <f t="shared" si="69"/>
        <v>3.5973428717424705</v>
      </c>
      <c r="H143" s="209">
        <f t="shared" si="36"/>
        <v>1.1079806648909933</v>
      </c>
    </row>
    <row r="144" spans="1:8" ht="16.5" customHeight="1">
      <c r="A144" s="232" t="s">
        <v>248</v>
      </c>
      <c r="B144" s="233">
        <f>[189]CARROCERIA!$D$21</f>
        <v>84808.333333333328</v>
      </c>
      <c r="C144" s="207">
        <f t="shared" si="67"/>
        <v>144.45635126516544</v>
      </c>
      <c r="D144" s="214">
        <f t="shared" si="70"/>
        <v>0.3945940613593546</v>
      </c>
      <c r="E144" s="214">
        <f t="shared" ref="E144:E149" si="71">100*(C144/C$143-1)</f>
        <v>0.3945940613593546</v>
      </c>
      <c r="F144" s="215">
        <f t="shared" si="68"/>
        <v>4.0061318344404517</v>
      </c>
      <c r="G144" s="216">
        <f t="shared" si="69"/>
        <v>4.0061318344404517</v>
      </c>
      <c r="H144" s="209">
        <f t="shared" si="36"/>
        <v>1.1036258229340672</v>
      </c>
    </row>
    <row r="145" spans="1:8" ht="16.5" customHeight="1">
      <c r="A145" s="234" t="s">
        <v>249</v>
      </c>
      <c r="B145" s="233">
        <f>[190]CARROCERIA!$D$21</f>
        <v>84808.333333333328</v>
      </c>
      <c r="C145" s="207">
        <f t="shared" ref="C145:C151" si="72">(100*B145/B$8)*$F$53</f>
        <v>144.45635126516544</v>
      </c>
      <c r="D145" s="214">
        <f t="shared" si="70"/>
        <v>0</v>
      </c>
      <c r="E145" s="214">
        <f t="shared" si="71"/>
        <v>0.3945940613593546</v>
      </c>
      <c r="F145" s="215">
        <f t="shared" si="68"/>
        <v>4.0061318344404517</v>
      </c>
      <c r="G145" s="216">
        <f t="shared" si="69"/>
        <v>4.0061318344404517</v>
      </c>
      <c r="H145" s="209">
        <f t="shared" si="36"/>
        <v>1.1036258229340672</v>
      </c>
    </row>
    <row r="146" spans="1:8" ht="16.5" customHeight="1">
      <c r="A146" s="234" t="s">
        <v>250</v>
      </c>
      <c r="B146" s="233">
        <f>[191]CARROCERIA!$D$21</f>
        <v>84808.333333333328</v>
      </c>
      <c r="C146" s="207">
        <f t="shared" si="72"/>
        <v>144.45635126516544</v>
      </c>
      <c r="D146" s="214">
        <f t="shared" si="70"/>
        <v>0</v>
      </c>
      <c r="E146" s="214">
        <f t="shared" si="71"/>
        <v>0.3945940613593546</v>
      </c>
      <c r="F146" s="215">
        <f t="shared" ref="F146:F151" si="73">(100*(C146/C134-1))</f>
        <v>3.6882322975037907</v>
      </c>
      <c r="G146" s="216">
        <f t="shared" ref="G146:G151" si="74">100*(C146/C122-1)</f>
        <v>4.0061318344404517</v>
      </c>
      <c r="H146" s="209">
        <f t="shared" si="36"/>
        <v>1.1036258229340672</v>
      </c>
    </row>
    <row r="147" spans="1:8" ht="16.5" customHeight="1">
      <c r="A147" s="234" t="s">
        <v>252</v>
      </c>
      <c r="B147" s="233">
        <f>[192]CARROCERIA!$D$21</f>
        <v>84808.333333333328</v>
      </c>
      <c r="C147" s="207">
        <f t="shared" si="72"/>
        <v>144.45635126516544</v>
      </c>
      <c r="D147" s="214">
        <f t="shared" si="70"/>
        <v>0</v>
      </c>
      <c r="E147" s="214">
        <f t="shared" si="71"/>
        <v>0.3945940613593546</v>
      </c>
      <c r="F147" s="215">
        <f t="shared" si="73"/>
        <v>3.6882322975037907</v>
      </c>
      <c r="G147" s="216">
        <f t="shared" si="74"/>
        <v>4.0061318344404517</v>
      </c>
      <c r="H147" s="209">
        <f t="shared" si="36"/>
        <v>1.1036258229340672</v>
      </c>
    </row>
    <row r="148" spans="1:8" ht="16.5" customHeight="1">
      <c r="A148" s="234" t="s">
        <v>253</v>
      </c>
      <c r="B148" s="233">
        <f>[193]CARROCERIA!$D$21</f>
        <v>84808.333333333328</v>
      </c>
      <c r="C148" s="207">
        <f t="shared" si="72"/>
        <v>144.45635126516544</v>
      </c>
      <c r="D148" s="214">
        <f t="shared" si="70"/>
        <v>0</v>
      </c>
      <c r="E148" s="214">
        <f t="shared" si="71"/>
        <v>0.3945940613593546</v>
      </c>
      <c r="F148" s="215">
        <f t="shared" si="73"/>
        <v>3.2673769660070739</v>
      </c>
      <c r="G148" s="216">
        <f t="shared" si="74"/>
        <v>4.0061318344404517</v>
      </c>
      <c r="H148" s="209">
        <f t="shared" si="36"/>
        <v>1.1036258229340672</v>
      </c>
    </row>
    <row r="149" spans="1:8" ht="16.5" customHeight="1">
      <c r="A149" s="234" t="s">
        <v>254</v>
      </c>
      <c r="B149" s="233">
        <f>[194]CARROCERIA!$D$21</f>
        <v>84808.333333333328</v>
      </c>
      <c r="C149" s="207">
        <f t="shared" si="72"/>
        <v>144.45635126516544</v>
      </c>
      <c r="D149" s="214">
        <f t="shared" si="70"/>
        <v>0</v>
      </c>
      <c r="E149" s="214">
        <f t="shared" si="71"/>
        <v>0.3945940613593546</v>
      </c>
      <c r="F149" s="215">
        <f t="shared" si="73"/>
        <v>3.0373595221220739</v>
      </c>
      <c r="G149" s="216">
        <f t="shared" si="74"/>
        <v>4.0061318344404517</v>
      </c>
      <c r="H149" s="209">
        <f t="shared" si="36"/>
        <v>1.1036258229340672</v>
      </c>
    </row>
    <row r="150" spans="1:8" ht="16.5" customHeight="1">
      <c r="A150" s="234" t="s">
        <v>255</v>
      </c>
      <c r="B150" s="233">
        <f>[195]CARROCERIA!$D$21</f>
        <v>84808.333333333328</v>
      </c>
      <c r="C150" s="207">
        <f t="shared" si="72"/>
        <v>144.45635126516544</v>
      </c>
      <c r="D150" s="214">
        <f t="shared" ref="D150:D156" si="75">100*(C150/C149-1)</f>
        <v>0</v>
      </c>
      <c r="E150" s="214">
        <f t="shared" ref="E150:E155" si="76">100*(C150/C$143-1)</f>
        <v>0.3945940613593546</v>
      </c>
      <c r="F150" s="215">
        <f t="shared" si="73"/>
        <v>0</v>
      </c>
      <c r="G150" s="216">
        <f t="shared" si="74"/>
        <v>4.0061318344404517</v>
      </c>
      <c r="H150" s="209">
        <f t="shared" si="36"/>
        <v>1.1036258229340672</v>
      </c>
    </row>
    <row r="151" spans="1:8" ht="16.5" customHeight="1">
      <c r="A151" s="234" t="str">
        <f>'Cav. Mecânico'!A150</f>
        <v>AGOSTO|15</v>
      </c>
      <c r="B151" s="233">
        <f>[196]CARROCERIA!$D$21</f>
        <v>84808.333333333328</v>
      </c>
      <c r="C151" s="207">
        <f t="shared" si="72"/>
        <v>144.45635126516544</v>
      </c>
      <c r="D151" s="214">
        <f t="shared" si="75"/>
        <v>0</v>
      </c>
      <c r="E151" s="214">
        <f t="shared" si="76"/>
        <v>0.3945940613593546</v>
      </c>
      <c r="F151" s="215">
        <f t="shared" si="73"/>
        <v>0</v>
      </c>
      <c r="G151" s="216">
        <f t="shared" si="74"/>
        <v>4.0061318344404517</v>
      </c>
      <c r="H151" s="209">
        <f t="shared" si="36"/>
        <v>1.1036258229340672</v>
      </c>
    </row>
    <row r="152" spans="1:8" ht="16.5" customHeight="1">
      <c r="A152" s="234" t="str">
        <f>'Cav. Mecânico'!A151</f>
        <v>SETEMBRO|15</v>
      </c>
      <c r="B152" s="233">
        <f>[197]CARROCERIA!$D$21</f>
        <v>84808.333333333328</v>
      </c>
      <c r="C152" s="207">
        <f t="shared" ref="C152:C158" si="77">(100*B152/B$8)*$F$53</f>
        <v>144.45635126516544</v>
      </c>
      <c r="D152" s="214">
        <f t="shared" si="75"/>
        <v>0</v>
      </c>
      <c r="E152" s="214">
        <f t="shared" si="76"/>
        <v>0.3945940613593546</v>
      </c>
      <c r="F152" s="215">
        <f t="shared" ref="F152:F157" si="78">(100*(C152/C140-1))</f>
        <v>0</v>
      </c>
      <c r="G152" s="216">
        <f t="shared" ref="G152:G157" si="79">100*(C152/C128-1)</f>
        <v>4.0061318344404517</v>
      </c>
      <c r="H152" s="209">
        <f t="shared" si="36"/>
        <v>1.1036258229340672</v>
      </c>
    </row>
    <row r="153" spans="1:8" ht="16.5" customHeight="1">
      <c r="A153" s="234" t="str">
        <f>'Cav. Mecânico'!A152</f>
        <v>OUTUBRO|15</v>
      </c>
      <c r="B153" s="233">
        <f>[198]CARROCERIA!$D$21</f>
        <v>84808.333333333328</v>
      </c>
      <c r="C153" s="207">
        <f t="shared" si="77"/>
        <v>144.45635126516544</v>
      </c>
      <c r="D153" s="214">
        <f t="shared" si="75"/>
        <v>0</v>
      </c>
      <c r="E153" s="214">
        <f t="shared" si="76"/>
        <v>0.3945940613593546</v>
      </c>
      <c r="F153" s="215">
        <f t="shared" si="78"/>
        <v>0.3945940613593546</v>
      </c>
      <c r="G153" s="216">
        <f t="shared" si="79"/>
        <v>4.0061318344404517</v>
      </c>
      <c r="H153" s="209">
        <f t="shared" si="36"/>
        <v>1.1036258229340672</v>
      </c>
    </row>
    <row r="154" spans="1:8" ht="16.5" customHeight="1">
      <c r="A154" s="234" t="str">
        <f>'Cav. Mecânico'!A153</f>
        <v>NOVEMBRO|15</v>
      </c>
      <c r="B154" s="233">
        <f>[199]CARROCERIA!$D$21</f>
        <v>84808.333333333328</v>
      </c>
      <c r="C154" s="207">
        <f t="shared" si="77"/>
        <v>144.45635126516544</v>
      </c>
      <c r="D154" s="214">
        <f t="shared" si="75"/>
        <v>0</v>
      </c>
      <c r="E154" s="214">
        <f t="shared" si="76"/>
        <v>0.3945940613593546</v>
      </c>
      <c r="F154" s="215">
        <f t="shared" si="78"/>
        <v>0.3945940613593546</v>
      </c>
      <c r="G154" s="216">
        <f t="shared" si="79"/>
        <v>4.0061318344404517</v>
      </c>
      <c r="H154" s="209">
        <f t="shared" si="36"/>
        <v>1.1036258229340672</v>
      </c>
    </row>
    <row r="155" spans="1:8" ht="16.5" customHeight="1">
      <c r="A155" s="234" t="str">
        <f>'Cav. Mecânico'!A154</f>
        <v>DEZEMBRO|15</v>
      </c>
      <c r="B155" s="233">
        <f>[200]CARROCERIA!$D$21</f>
        <v>84808.333333333328</v>
      </c>
      <c r="C155" s="207">
        <f t="shared" si="77"/>
        <v>144.45635126516544</v>
      </c>
      <c r="D155" s="214">
        <f t="shared" si="75"/>
        <v>0</v>
      </c>
      <c r="E155" s="214">
        <f t="shared" si="76"/>
        <v>0.3945940613593546</v>
      </c>
      <c r="F155" s="215">
        <f t="shared" si="78"/>
        <v>0.3945940613593546</v>
      </c>
      <c r="G155" s="216">
        <f t="shared" si="79"/>
        <v>4.0061318344404517</v>
      </c>
      <c r="H155" s="209">
        <f t="shared" si="36"/>
        <v>1.1036258229340672</v>
      </c>
    </row>
    <row r="156" spans="1:8" ht="16.5" customHeight="1">
      <c r="A156" s="234" t="str">
        <f>'Cav. Mecânico'!A155</f>
        <v>JANEIRO|16</v>
      </c>
      <c r="B156" s="233">
        <f>[201]CARROCERIA!$D$21</f>
        <v>84808.333333333328</v>
      </c>
      <c r="C156" s="207">
        <f t="shared" si="77"/>
        <v>144.45635126516544</v>
      </c>
      <c r="D156" s="214">
        <f t="shared" si="75"/>
        <v>0</v>
      </c>
      <c r="E156" s="214">
        <f t="shared" ref="E156:E161" si="80">100*(C156/C$155-1)</f>
        <v>0</v>
      </c>
      <c r="F156" s="215">
        <f t="shared" si="78"/>
        <v>0</v>
      </c>
      <c r="G156" s="216">
        <f t="shared" si="79"/>
        <v>4.0061318344404517</v>
      </c>
      <c r="H156" s="209">
        <f t="shared" si="36"/>
        <v>1.1036258229340672</v>
      </c>
    </row>
    <row r="157" spans="1:8" ht="16.5" customHeight="1">
      <c r="A157" s="234" t="str">
        <f>'Cav. Mecânico'!A156</f>
        <v>FEVEREIRO|16</v>
      </c>
      <c r="B157" s="233">
        <f>[202]CARROCERIA!$D$21</f>
        <v>84808.333333333328</v>
      </c>
      <c r="C157" s="207">
        <f t="shared" si="77"/>
        <v>144.45635126516544</v>
      </c>
      <c r="D157" s="214">
        <f t="shared" ref="D157:D162" si="81">100*(C157/C156-1)</f>
        <v>0</v>
      </c>
      <c r="E157" s="214">
        <f t="shared" si="80"/>
        <v>0</v>
      </c>
      <c r="F157" s="215">
        <f t="shared" si="78"/>
        <v>0</v>
      </c>
      <c r="G157" s="216">
        <f t="shared" si="79"/>
        <v>4.0061318344404517</v>
      </c>
      <c r="H157" s="209">
        <f t="shared" si="36"/>
        <v>1.1036258229340672</v>
      </c>
    </row>
    <row r="158" spans="1:8" ht="16.5" customHeight="1">
      <c r="A158" s="234" t="str">
        <f>'Cav. Mecânico'!A157</f>
        <v>MARÇO|16</v>
      </c>
      <c r="B158" s="233">
        <f>[203]CARROCERIA!$D$21</f>
        <v>84808.333333333328</v>
      </c>
      <c r="C158" s="207">
        <f t="shared" si="77"/>
        <v>144.45635126516544</v>
      </c>
      <c r="D158" s="214">
        <f t="shared" si="81"/>
        <v>0</v>
      </c>
      <c r="E158" s="214">
        <f t="shared" si="80"/>
        <v>0</v>
      </c>
      <c r="F158" s="215">
        <f t="shared" ref="F158:F163" si="82">(100*(C158/C146-1))</f>
        <v>0</v>
      </c>
      <c r="G158" s="216">
        <f t="shared" ref="G158:G163" si="83">100*(C158/C134-1)</f>
        <v>3.6882322975037907</v>
      </c>
      <c r="H158" s="209">
        <f t="shared" si="36"/>
        <v>1.1036258229340672</v>
      </c>
    </row>
    <row r="159" spans="1:8" ht="16.5" customHeight="1">
      <c r="A159" s="234" t="str">
        <f>'Cav. Mecânico'!A158</f>
        <v>ABRIL|16</v>
      </c>
      <c r="B159" s="233">
        <f>[204]CARROCERIA!$D$21</f>
        <v>84808.333333333328</v>
      </c>
      <c r="C159" s="207">
        <f t="shared" ref="C159:C165" si="84">(100*B159/B$8)*$F$53</f>
        <v>144.45635126516544</v>
      </c>
      <c r="D159" s="214">
        <f t="shared" si="81"/>
        <v>0</v>
      </c>
      <c r="E159" s="214">
        <f t="shared" si="80"/>
        <v>0</v>
      </c>
      <c r="F159" s="215">
        <f t="shared" si="82"/>
        <v>0</v>
      </c>
      <c r="G159" s="216">
        <f t="shared" si="83"/>
        <v>3.6882322975037907</v>
      </c>
      <c r="H159" s="209">
        <f t="shared" si="36"/>
        <v>1.1036258229340672</v>
      </c>
    </row>
    <row r="160" spans="1:8" ht="16.5" customHeight="1">
      <c r="A160" s="234" t="str">
        <f>'Cav. Mecânico'!A159</f>
        <v>MAIO|16</v>
      </c>
      <c r="B160" s="233">
        <f>[205]CARROCERIA!$D$21</f>
        <v>84808.333333333328</v>
      </c>
      <c r="C160" s="207">
        <f t="shared" si="84"/>
        <v>144.45635126516544</v>
      </c>
      <c r="D160" s="214">
        <f t="shared" si="81"/>
        <v>0</v>
      </c>
      <c r="E160" s="214">
        <f t="shared" si="80"/>
        <v>0</v>
      </c>
      <c r="F160" s="215">
        <f t="shared" si="82"/>
        <v>0</v>
      </c>
      <c r="G160" s="216">
        <f t="shared" si="83"/>
        <v>3.2673769660070739</v>
      </c>
      <c r="H160" s="209">
        <f t="shared" si="36"/>
        <v>1.1036258229340672</v>
      </c>
    </row>
    <row r="161" spans="1:8" ht="16.5" customHeight="1">
      <c r="A161" s="234" t="str">
        <f>'Cav. Mecânico'!A160</f>
        <v>JUNHO|16</v>
      </c>
      <c r="B161" s="233">
        <f>[206]CARROCERIA!$D$21</f>
        <v>84808.333333333328</v>
      </c>
      <c r="C161" s="207">
        <f t="shared" si="84"/>
        <v>144.45635126516544</v>
      </c>
      <c r="D161" s="214">
        <f t="shared" si="81"/>
        <v>0</v>
      </c>
      <c r="E161" s="214">
        <f t="shared" si="80"/>
        <v>0</v>
      </c>
      <c r="F161" s="215">
        <f t="shared" si="82"/>
        <v>0</v>
      </c>
      <c r="G161" s="216">
        <f t="shared" si="83"/>
        <v>3.0373595221220739</v>
      </c>
      <c r="H161" s="209">
        <f t="shared" si="36"/>
        <v>1.1036258229340672</v>
      </c>
    </row>
    <row r="162" spans="1:8" ht="16.5" customHeight="1">
      <c r="A162" s="234" t="str">
        <f>'Cav. Mecânico'!A161</f>
        <v>JULHO|16</v>
      </c>
      <c r="B162" s="233">
        <f>[207]CARROCERIA!$D$21</f>
        <v>85740</v>
      </c>
      <c r="C162" s="207">
        <f t="shared" si="84"/>
        <v>146.04328455311335</v>
      </c>
      <c r="D162" s="214">
        <f t="shared" si="81"/>
        <v>1.098555566473447</v>
      </c>
      <c r="E162" s="214">
        <f t="shared" ref="E162" si="85">100*(C162/C$155-1)</f>
        <v>1.098555566473447</v>
      </c>
      <c r="F162" s="215">
        <f t="shared" si="82"/>
        <v>1.098555566473447</v>
      </c>
      <c r="G162" s="216">
        <f t="shared" si="83"/>
        <v>1.098555566473447</v>
      </c>
      <c r="H162" s="209">
        <f t="shared" ref="H162:H212" si="86">+B$212/B162</f>
        <v>1.0916336210248037</v>
      </c>
    </row>
    <row r="163" spans="1:8" ht="16.5" customHeight="1">
      <c r="A163" s="234" t="str">
        <f>'Cav. Mecânico'!A162</f>
        <v>AGOSTO|16</v>
      </c>
      <c r="B163" s="233">
        <f>[208]CARROCERIA!$D$21</f>
        <v>85740</v>
      </c>
      <c r="C163" s="207">
        <f t="shared" si="84"/>
        <v>146.04328455311335</v>
      </c>
      <c r="D163" s="214">
        <f t="shared" ref="D163" si="87">100*(C163/C162-1)</f>
        <v>0</v>
      </c>
      <c r="E163" s="214">
        <f t="shared" ref="E163" si="88">100*(C163/C$155-1)</f>
        <v>1.098555566473447</v>
      </c>
      <c r="F163" s="215">
        <f t="shared" si="82"/>
        <v>1.098555566473447</v>
      </c>
      <c r="G163" s="216">
        <f t="shared" si="83"/>
        <v>1.098555566473447</v>
      </c>
      <c r="H163" s="209">
        <f t="shared" si="86"/>
        <v>1.0916336210248037</v>
      </c>
    </row>
    <row r="164" spans="1:8" ht="16.5" customHeight="1">
      <c r="A164" s="234" t="str">
        <f>'Cav. Mecânico'!A163</f>
        <v>SETEMBRO|16</v>
      </c>
      <c r="B164" s="233">
        <f>[209]CARROCERIA!$D$21</f>
        <v>85740</v>
      </c>
      <c r="C164" s="207">
        <f t="shared" si="84"/>
        <v>146.04328455311335</v>
      </c>
      <c r="D164" s="214">
        <f t="shared" ref="D164" si="89">100*(C164/C163-1)</f>
        <v>0</v>
      </c>
      <c r="E164" s="214">
        <f t="shared" ref="E164" si="90">100*(C164/C$155-1)</f>
        <v>1.098555566473447</v>
      </c>
      <c r="F164" s="215">
        <f t="shared" ref="F164" si="91">(100*(C164/C152-1))</f>
        <v>1.098555566473447</v>
      </c>
      <c r="G164" s="216">
        <f t="shared" ref="G164" si="92">100*(C164/C140-1)</f>
        <v>1.098555566473447</v>
      </c>
      <c r="H164" s="209">
        <f t="shared" si="86"/>
        <v>1.0916336210248037</v>
      </c>
    </row>
    <row r="165" spans="1:8" ht="16.5" customHeight="1">
      <c r="A165" s="234" t="str">
        <f>'Cav. Mecânico'!A164</f>
        <v>OUTUBRO|16</v>
      </c>
      <c r="B165" s="233">
        <f>[210]CARROCERIA!$D$21</f>
        <v>85740</v>
      </c>
      <c r="C165" s="207">
        <f t="shared" si="84"/>
        <v>146.04328455311335</v>
      </c>
      <c r="D165" s="214">
        <f t="shared" ref="D165" si="93">100*(C165/C164-1)</f>
        <v>0</v>
      </c>
      <c r="E165" s="214">
        <f t="shared" ref="E165" si="94">100*(C165/C$155-1)</f>
        <v>1.098555566473447</v>
      </c>
      <c r="F165" s="215">
        <f t="shared" ref="F165" si="95">(100*(C165/C153-1))</f>
        <v>1.098555566473447</v>
      </c>
      <c r="G165" s="216">
        <f t="shared" ref="G165" si="96">100*(C165/C141-1)</f>
        <v>1.4974844628588446</v>
      </c>
      <c r="H165" s="209">
        <f t="shared" si="86"/>
        <v>1.0916336210248037</v>
      </c>
    </row>
    <row r="166" spans="1:8" ht="16.5" customHeight="1">
      <c r="A166" s="234" t="str">
        <f>'Cav. Mecânico'!A165</f>
        <v>NOVEMBRO|16</v>
      </c>
      <c r="B166" s="233">
        <f>[211]CARROCERIA!$D$21</f>
        <v>85740</v>
      </c>
      <c r="C166" s="207">
        <f t="shared" ref="C166" si="97">(100*B166/B$8)*$F$53</f>
        <v>146.04328455311335</v>
      </c>
      <c r="D166" s="214">
        <f t="shared" ref="D166" si="98">100*(C166/C165-1)</f>
        <v>0</v>
      </c>
      <c r="E166" s="214">
        <f t="shared" ref="E166" si="99">100*(C166/C$155-1)</f>
        <v>1.098555566473447</v>
      </c>
      <c r="F166" s="215">
        <f t="shared" ref="F166" si="100">(100*(C166/C154-1))</f>
        <v>1.098555566473447</v>
      </c>
      <c r="G166" s="216">
        <f t="shared" ref="G166" si="101">100*(C166/C142-1)</f>
        <v>1.4974844628588446</v>
      </c>
      <c r="H166" s="209">
        <f t="shared" si="86"/>
        <v>1.0916336210248037</v>
      </c>
    </row>
    <row r="167" spans="1:8" ht="16.5" customHeight="1">
      <c r="A167" s="234" t="str">
        <f>'Cav. Mecânico'!A166</f>
        <v>DEZEMBRO|16</v>
      </c>
      <c r="B167" s="233">
        <f>[212]CARROCERIA!$D$21</f>
        <v>85740</v>
      </c>
      <c r="C167" s="207">
        <f t="shared" ref="C167" si="102">(100*B167/B$8)*$F$53</f>
        <v>146.04328455311335</v>
      </c>
      <c r="D167" s="214">
        <f t="shared" ref="D167" si="103">100*(C167/C166-1)</f>
        <v>0</v>
      </c>
      <c r="E167" s="214">
        <f t="shared" ref="E167" si="104">100*(C167/C$155-1)</f>
        <v>1.098555566473447</v>
      </c>
      <c r="F167" s="215">
        <f t="shared" ref="F167" si="105">(100*(C167/C155-1))</f>
        <v>1.098555566473447</v>
      </c>
      <c r="G167" s="216">
        <f t="shared" ref="G167" si="106">100*(C167/C143-1)</f>
        <v>1.4974844628588446</v>
      </c>
      <c r="H167" s="209">
        <f t="shared" si="86"/>
        <v>1.0916336210248037</v>
      </c>
    </row>
    <row r="168" spans="1:8" ht="16.5" customHeight="1">
      <c r="A168" s="234" t="str">
        <f>'Cav. Mecânico'!A167</f>
        <v>JANEIRO|17</v>
      </c>
      <c r="B168" s="233">
        <f>[213]CARROCERIA!$D$21</f>
        <v>86223.333333333328</v>
      </c>
      <c r="C168" s="207">
        <f t="shared" ref="C168" si="107">(100*B168/B$8)*$F$53</f>
        <v>146.86655942521509</v>
      </c>
      <c r="D168" s="214">
        <f t="shared" ref="D168" si="108">100*(C168/C167-1)</f>
        <v>0.56371977295699427</v>
      </c>
      <c r="E168" s="214">
        <f t="shared" ref="E168:E173" si="109">100*(C168/C$167-1)</f>
        <v>0.56371977295699427</v>
      </c>
      <c r="F168" s="215">
        <f t="shared" ref="F168" si="110">(100*(C168/C156-1))</f>
        <v>1.6684681143755764</v>
      </c>
      <c r="G168" s="216">
        <f t="shared" ref="G168" si="111">100*(C168/C144-1)</f>
        <v>1.6684681143755764</v>
      </c>
      <c r="H168" s="209">
        <f t="shared" si="86"/>
        <v>1.0855143619283258</v>
      </c>
    </row>
    <row r="169" spans="1:8" ht="16.5" customHeight="1">
      <c r="A169" s="234" t="str">
        <f>'Cav. Mecânico'!A168</f>
        <v>FEVEREIRO|17</v>
      </c>
      <c r="B169" s="233">
        <f>[214]CARROCERIA!$D$21</f>
        <v>86223.333333333328</v>
      </c>
      <c r="C169" s="207">
        <f t="shared" ref="C169" si="112">(100*B169/B$8)*$F$53</f>
        <v>146.86655942521509</v>
      </c>
      <c r="D169" s="214">
        <f t="shared" ref="D169" si="113">100*(C169/C168-1)</f>
        <v>0</v>
      </c>
      <c r="E169" s="214">
        <f t="shared" si="109"/>
        <v>0.56371977295699427</v>
      </c>
      <c r="F169" s="215">
        <f t="shared" ref="F169" si="114">(100*(C169/C157-1))</f>
        <v>1.6684681143755764</v>
      </c>
      <c r="G169" s="216">
        <f t="shared" ref="G169" si="115">100*(C169/C145-1)</f>
        <v>1.6684681143755764</v>
      </c>
      <c r="H169" s="209">
        <f t="shared" si="86"/>
        <v>1.0855143619283258</v>
      </c>
    </row>
    <row r="170" spans="1:8" ht="16.5" customHeight="1">
      <c r="A170" s="234" t="str">
        <f>'Cav. Mecânico'!A169</f>
        <v>MARÇO|17</v>
      </c>
      <c r="B170" s="233">
        <f>[215]CARROCERIA!$D$21</f>
        <v>86223.333333333328</v>
      </c>
      <c r="C170" s="207">
        <f t="shared" ref="C170" si="116">(100*B170/B$8)*$F$53</f>
        <v>146.86655942521509</v>
      </c>
      <c r="D170" s="214">
        <f t="shared" ref="D170" si="117">100*(C170/C169-1)</f>
        <v>0</v>
      </c>
      <c r="E170" s="214">
        <f t="shared" si="109"/>
        <v>0.56371977295699427</v>
      </c>
      <c r="F170" s="215">
        <f t="shared" ref="F170" si="118">(100*(C170/C158-1))</f>
        <v>1.6684681143755764</v>
      </c>
      <c r="G170" s="216">
        <f t="shared" ref="G170" si="119">100*(C170/C146-1)</f>
        <v>1.6684681143755764</v>
      </c>
      <c r="H170" s="209">
        <f t="shared" si="86"/>
        <v>1.0855143619283258</v>
      </c>
    </row>
    <row r="171" spans="1:8" ht="16.5" customHeight="1">
      <c r="A171" s="234" t="str">
        <f>'Cav. Mecânico'!A170</f>
        <v>ABRIL|17</v>
      </c>
      <c r="B171" s="233">
        <f>[216]CARROCERIA!$D$21</f>
        <v>86223.333333333328</v>
      </c>
      <c r="C171" s="207">
        <f t="shared" ref="C171" si="120">(100*B171/B$8)*$F$53</f>
        <v>146.86655942521509</v>
      </c>
      <c r="D171" s="214">
        <f t="shared" ref="D171" si="121">100*(C171/C170-1)</f>
        <v>0</v>
      </c>
      <c r="E171" s="214">
        <f t="shared" si="109"/>
        <v>0.56371977295699427</v>
      </c>
      <c r="F171" s="215">
        <f t="shared" ref="F171" si="122">(100*(C171/C159-1))</f>
        <v>1.6684681143755764</v>
      </c>
      <c r="G171" s="216">
        <f t="shared" ref="G171" si="123">100*(C171/C147-1)</f>
        <v>1.6684681143755764</v>
      </c>
      <c r="H171" s="209">
        <f t="shared" si="86"/>
        <v>1.0855143619283258</v>
      </c>
    </row>
    <row r="172" spans="1:8" ht="16.5" customHeight="1">
      <c r="A172" s="234" t="str">
        <f>'Cav. Mecânico'!A171</f>
        <v>MAIO|17</v>
      </c>
      <c r="B172" s="233">
        <f>[217]CARROCERIA!$D$21</f>
        <v>86223.333333333328</v>
      </c>
      <c r="C172" s="207">
        <f t="shared" ref="C172" si="124">(100*B172/B$8)*$F$53</f>
        <v>146.86655942521509</v>
      </c>
      <c r="D172" s="214">
        <f t="shared" ref="D172" si="125">100*(C172/C171-1)</f>
        <v>0</v>
      </c>
      <c r="E172" s="214">
        <f t="shared" si="109"/>
        <v>0.56371977295699427</v>
      </c>
      <c r="F172" s="215">
        <f t="shared" ref="F172" si="126">(100*(C172/C160-1))</f>
        <v>1.6684681143755764</v>
      </c>
      <c r="G172" s="216">
        <f t="shared" ref="G172" si="127">100*(C172/C148-1)</f>
        <v>1.6684681143755764</v>
      </c>
      <c r="H172" s="209">
        <f t="shared" si="86"/>
        <v>1.0855143619283258</v>
      </c>
    </row>
    <row r="173" spans="1:8" ht="16.5" customHeight="1">
      <c r="A173" s="234" t="str">
        <f>'Cav. Mecânico'!A172</f>
        <v>JUNHO|17</v>
      </c>
      <c r="B173" s="233">
        <f>[218]CARROCERIA!$D$21</f>
        <v>86223.333333333328</v>
      </c>
      <c r="C173" s="207">
        <f t="shared" ref="C173" si="128">(100*B173/B$8)*$F$53</f>
        <v>146.86655942521509</v>
      </c>
      <c r="D173" s="214">
        <f t="shared" ref="D173" si="129">100*(C173/C172-1)</f>
        <v>0</v>
      </c>
      <c r="E173" s="214">
        <f t="shared" si="109"/>
        <v>0.56371977295699427</v>
      </c>
      <c r="F173" s="215">
        <f t="shared" ref="F173" si="130">(100*(C173/C161-1))</f>
        <v>1.6684681143755764</v>
      </c>
      <c r="G173" s="216">
        <f t="shared" ref="G173" si="131">100*(C173/C149-1)</f>
        <v>1.6684681143755764</v>
      </c>
      <c r="H173" s="209">
        <f t="shared" si="86"/>
        <v>1.0855143619283258</v>
      </c>
    </row>
    <row r="174" spans="1:8" ht="16.5" customHeight="1">
      <c r="A174" s="234" t="str">
        <f>'Cav. Mecânico'!A173</f>
        <v>JULHO|17</v>
      </c>
      <c r="B174" s="233">
        <f>[219]CARROCERIA!$D$21</f>
        <v>86223.333333333328</v>
      </c>
      <c r="C174" s="207">
        <f t="shared" ref="C174" si="132">(100*B174/B$8)*$F$53</f>
        <v>146.86655942521509</v>
      </c>
      <c r="D174" s="214">
        <f t="shared" ref="D174" si="133">100*(C174/C173-1)</f>
        <v>0</v>
      </c>
      <c r="E174" s="214">
        <f t="shared" ref="E174" si="134">100*(C174/C$167-1)</f>
        <v>0.56371977295699427</v>
      </c>
      <c r="F174" s="215">
        <f t="shared" ref="F174" si="135">(100*(C174/C162-1))</f>
        <v>0.56371977295699427</v>
      </c>
      <c r="G174" s="216">
        <f t="shared" ref="G174" si="136">100*(C174/C150-1)</f>
        <v>1.6684681143755764</v>
      </c>
      <c r="H174" s="209">
        <f t="shared" si="86"/>
        <v>1.0855143619283258</v>
      </c>
    </row>
    <row r="175" spans="1:8" ht="16.5" customHeight="1">
      <c r="A175" s="234" t="str">
        <f>'Cav. Mecânico'!A174</f>
        <v>AGOSTO|17</v>
      </c>
      <c r="B175" s="233">
        <f>[220]CARROCERIA!$D$21</f>
        <v>88890</v>
      </c>
      <c r="C175" s="207">
        <f t="shared" ref="C175" si="137">(100*B175/B$8)*$F$53</f>
        <v>151.40876561612137</v>
      </c>
      <c r="D175" s="214">
        <f t="shared" ref="D175" si="138">100*(C175/C174-1)</f>
        <v>3.0927436502107053</v>
      </c>
      <c r="E175" s="214">
        <f t="shared" ref="E175" si="139">100*(C175/C$167-1)</f>
        <v>3.6738978306508185</v>
      </c>
      <c r="F175" s="215">
        <f t="shared" ref="F175" si="140">(100*(C175/C163-1))</f>
        <v>3.6738978306508185</v>
      </c>
      <c r="G175" s="216">
        <f t="shared" ref="G175" si="141">100*(C175/C151-1)</f>
        <v>4.8128132062494222</v>
      </c>
      <c r="H175" s="209">
        <f t="shared" si="86"/>
        <v>1.0529493381332733</v>
      </c>
    </row>
    <row r="176" spans="1:8" ht="16.5" customHeight="1">
      <c r="A176" s="234" t="str">
        <f>'Cav. Mecânico'!A175</f>
        <v>SETEMBRO|17</v>
      </c>
      <c r="B176" s="233">
        <f>[221]CARROCERIA!$D$21</f>
        <v>88890</v>
      </c>
      <c r="C176" s="207">
        <f t="shared" ref="C176" si="142">(100*B176/B$8)*$F$53</f>
        <v>151.40876561612137</v>
      </c>
      <c r="D176" s="214">
        <f t="shared" ref="D176" si="143">100*(C176/C175-1)</f>
        <v>0</v>
      </c>
      <c r="E176" s="214">
        <f t="shared" ref="E176" si="144">100*(C176/C$167-1)</f>
        <v>3.6738978306508185</v>
      </c>
      <c r="F176" s="215">
        <f t="shared" ref="F176" si="145">(100*(C176/C164-1))</f>
        <v>3.6738978306508185</v>
      </c>
      <c r="G176" s="216">
        <f t="shared" ref="G176" si="146">100*(C176/C152-1)</f>
        <v>4.8128132062494222</v>
      </c>
      <c r="H176" s="209">
        <f t="shared" si="86"/>
        <v>1.0529493381332733</v>
      </c>
    </row>
    <row r="177" spans="1:8" ht="16.5" customHeight="1">
      <c r="A177" s="234" t="str">
        <f>'Cav. Mecânico'!A176</f>
        <v>OUTUBRO|17</v>
      </c>
      <c r="B177" s="233">
        <f>[222]CARROCERIA!$D$21</f>
        <v>88890</v>
      </c>
      <c r="C177" s="207">
        <f t="shared" ref="C177" si="147">(100*B177/B$8)*$F$53</f>
        <v>151.40876561612137</v>
      </c>
      <c r="D177" s="214">
        <f t="shared" ref="D177" si="148">100*(C177/C176-1)</f>
        <v>0</v>
      </c>
      <c r="E177" s="214">
        <f t="shared" ref="E177" si="149">100*(C177/C$167-1)</f>
        <v>3.6738978306508185</v>
      </c>
      <c r="F177" s="215">
        <f t="shared" ref="F177" si="150">(100*(C177/C165-1))</f>
        <v>3.6738978306508185</v>
      </c>
      <c r="G177" s="216">
        <f t="shared" ref="G177" si="151">100*(C177/C153-1)</f>
        <v>4.8128132062494222</v>
      </c>
      <c r="H177" s="209">
        <f t="shared" si="86"/>
        <v>1.0529493381332733</v>
      </c>
    </row>
    <row r="178" spans="1:8" ht="16.5" customHeight="1">
      <c r="A178" s="234" t="str">
        <f>'Cav. Mecânico'!A177</f>
        <v>NOVEMBRO|17</v>
      </c>
      <c r="B178" s="233">
        <f>[223]CARROCERIA!$D$21</f>
        <v>88890</v>
      </c>
      <c r="C178" s="207">
        <f t="shared" ref="C178" si="152">(100*B178/B$8)*$F$53</f>
        <v>151.40876561612137</v>
      </c>
      <c r="D178" s="214">
        <f t="shared" ref="D178" si="153">100*(C178/C177-1)</f>
        <v>0</v>
      </c>
      <c r="E178" s="214">
        <f t="shared" ref="E178" si="154">100*(C178/C$167-1)</f>
        <v>3.6738978306508185</v>
      </c>
      <c r="F178" s="215">
        <f t="shared" ref="F178" si="155">(100*(C178/C166-1))</f>
        <v>3.6738978306508185</v>
      </c>
      <c r="G178" s="216">
        <f t="shared" ref="G178" si="156">100*(C178/C154-1)</f>
        <v>4.8128132062494222</v>
      </c>
      <c r="H178" s="209">
        <f t="shared" si="86"/>
        <v>1.0529493381332733</v>
      </c>
    </row>
    <row r="179" spans="1:8" ht="16.5" customHeight="1">
      <c r="A179" s="234" t="str">
        <f>'Cav. Mecânico'!A178</f>
        <v>DEZEMBRO|17</v>
      </c>
      <c r="B179" s="233">
        <f>[224]CARROCERIA!$D$21</f>
        <v>88890</v>
      </c>
      <c r="C179" s="207">
        <f t="shared" ref="C179" si="157">(100*B179/B$8)*$F$53</f>
        <v>151.40876561612137</v>
      </c>
      <c r="D179" s="214">
        <f t="shared" ref="D179" si="158">100*(C179/C178-1)</f>
        <v>0</v>
      </c>
      <c r="E179" s="214">
        <f t="shared" ref="E179" si="159">100*(C179/C$167-1)</f>
        <v>3.6738978306508185</v>
      </c>
      <c r="F179" s="215">
        <f t="shared" ref="F179" si="160">(100*(C179/C167-1))</f>
        <v>3.6738978306508185</v>
      </c>
      <c r="G179" s="216">
        <f t="shared" ref="G179" si="161">100*(C179/C155-1)</f>
        <v>4.8128132062494222</v>
      </c>
      <c r="H179" s="209">
        <f t="shared" si="86"/>
        <v>1.0529493381332733</v>
      </c>
    </row>
    <row r="180" spans="1:8" ht="16.5" customHeight="1">
      <c r="A180" s="234" t="str">
        <f>'Cav. Mecânico'!A179</f>
        <v>JANEIRO|18</v>
      </c>
      <c r="B180" s="233">
        <f>[225]CARROCERIA!$D$21</f>
        <v>88890</v>
      </c>
      <c r="C180" s="207">
        <f t="shared" ref="C180" si="162">(100*B180/B$8)*$F$53</f>
        <v>151.40876561612137</v>
      </c>
      <c r="D180" s="214">
        <f t="shared" ref="D180" si="163">100*(C180/C179-1)</f>
        <v>0</v>
      </c>
      <c r="E180" s="214">
        <f t="shared" ref="E180:E185" si="164">100*(C180/C$179-1)</f>
        <v>0</v>
      </c>
      <c r="F180" s="215">
        <f t="shared" ref="F180" si="165">(100*(C180/C168-1))</f>
        <v>3.0927436502107053</v>
      </c>
      <c r="G180" s="216">
        <f t="shared" ref="G180" si="166">100*(C180/C156-1)</f>
        <v>4.8128132062494222</v>
      </c>
      <c r="H180" s="209">
        <f t="shared" si="86"/>
        <v>1.0529493381332733</v>
      </c>
    </row>
    <row r="181" spans="1:8" ht="16.5" customHeight="1">
      <c r="A181" s="234" t="str">
        <f>'Cav. Mecânico'!A180</f>
        <v>FEVEREIRO|18</v>
      </c>
      <c r="B181" s="233">
        <f>[226]CARROCERIA!$D$21</f>
        <v>88890</v>
      </c>
      <c r="C181" s="207">
        <f t="shared" ref="C181" si="167">(100*B181/B$8)*$F$53</f>
        <v>151.40876561612137</v>
      </c>
      <c r="D181" s="214">
        <f t="shared" ref="D181" si="168">100*(C181/C180-1)</f>
        <v>0</v>
      </c>
      <c r="E181" s="214">
        <f t="shared" si="164"/>
        <v>0</v>
      </c>
      <c r="F181" s="215">
        <f t="shared" ref="F181" si="169">(100*(C181/C169-1))</f>
        <v>3.0927436502107053</v>
      </c>
      <c r="G181" s="216">
        <f t="shared" ref="G181" si="170">100*(C181/C157-1)</f>
        <v>4.8128132062494222</v>
      </c>
      <c r="H181" s="209">
        <f t="shared" si="86"/>
        <v>1.0529493381332733</v>
      </c>
    </row>
    <row r="182" spans="1:8" ht="16.5" customHeight="1">
      <c r="A182" s="234" t="str">
        <f>'Cav. Mecânico'!A181</f>
        <v>MARÇO|18</v>
      </c>
      <c r="B182" s="233">
        <f>[227]CARROCERIA!$D$21</f>
        <v>88890</v>
      </c>
      <c r="C182" s="207">
        <f t="shared" ref="C182" si="171">(100*B182/B$8)*$F$53</f>
        <v>151.40876561612137</v>
      </c>
      <c r="D182" s="214">
        <f t="shared" ref="D182" si="172">100*(C182/C181-1)</f>
        <v>0</v>
      </c>
      <c r="E182" s="214">
        <f t="shared" si="164"/>
        <v>0</v>
      </c>
      <c r="F182" s="215">
        <f t="shared" ref="F182" si="173">(100*(C182/C170-1))</f>
        <v>3.0927436502107053</v>
      </c>
      <c r="G182" s="216">
        <f t="shared" ref="G182" si="174">100*(C182/C158-1)</f>
        <v>4.8128132062494222</v>
      </c>
      <c r="H182" s="209">
        <f t="shared" si="86"/>
        <v>1.0529493381332733</v>
      </c>
    </row>
    <row r="183" spans="1:8" ht="16.5" customHeight="1">
      <c r="A183" s="234" t="str">
        <f>'Cav. Mecânico'!A182</f>
        <v>ABRIL|18</v>
      </c>
      <c r="B183" s="233">
        <f>[228]CARROCERIA!$D$21</f>
        <v>90096.666666666672</v>
      </c>
      <c r="C183" s="207">
        <f t="shared" ref="C183" si="175">(100*B183/B$8)*$F$53</f>
        <v>153.46411391750647</v>
      </c>
      <c r="D183" s="214">
        <f t="shared" ref="D183" si="176">100*(C183/C182-1)</f>
        <v>1.3574830314621256</v>
      </c>
      <c r="E183" s="214">
        <f t="shared" si="164"/>
        <v>1.3574830314621256</v>
      </c>
      <c r="F183" s="215">
        <f t="shared" ref="F183" si="177">(100*(C183/C171-1))</f>
        <v>4.4922101519310642</v>
      </c>
      <c r="G183" s="216">
        <f t="shared" ref="G183" si="178">100*(C183/C159-1)</f>
        <v>6.2356293603223367</v>
      </c>
      <c r="H183" s="209">
        <f t="shared" si="86"/>
        <v>1.0388471641570165</v>
      </c>
    </row>
    <row r="184" spans="1:8" ht="16.5" customHeight="1">
      <c r="A184" s="234" t="str">
        <f>'Cav. Mecânico'!A183</f>
        <v>MAIO|18</v>
      </c>
      <c r="B184" s="233">
        <f>[229]CARROCERIA!$D$21</f>
        <v>90096.666666666672</v>
      </c>
      <c r="C184" s="207">
        <f t="shared" ref="C184" si="179">(100*B184/B$8)*$F$53</f>
        <v>153.46411391750647</v>
      </c>
      <c r="D184" s="214">
        <f t="shared" ref="D184" si="180">100*(C184/C183-1)</f>
        <v>0</v>
      </c>
      <c r="E184" s="214">
        <f t="shared" si="164"/>
        <v>1.3574830314621256</v>
      </c>
      <c r="F184" s="215">
        <f t="shared" ref="F184" si="181">(100*(C184/C172-1))</f>
        <v>4.4922101519310642</v>
      </c>
      <c r="G184" s="216">
        <f t="shared" ref="G184" si="182">100*(C184/C160-1)</f>
        <v>6.2356293603223367</v>
      </c>
      <c r="H184" s="209">
        <f t="shared" si="86"/>
        <v>1.0388471641570165</v>
      </c>
    </row>
    <row r="185" spans="1:8" ht="16.5" customHeight="1">
      <c r="A185" s="234" t="str">
        <f>'Cav. Mecânico'!A184</f>
        <v>JUNHO|18</v>
      </c>
      <c r="B185" s="233">
        <f>[230]CARROCERIA!$D$21</f>
        <v>90096.666666666672</v>
      </c>
      <c r="C185" s="207">
        <f t="shared" ref="C185" si="183">(100*B185/B$8)*$F$53</f>
        <v>153.46411391750647</v>
      </c>
      <c r="D185" s="214">
        <f t="shared" ref="D185" si="184">100*(C185/C184-1)</f>
        <v>0</v>
      </c>
      <c r="E185" s="214">
        <f t="shared" si="164"/>
        <v>1.3574830314621256</v>
      </c>
      <c r="F185" s="215">
        <f t="shared" ref="F185" si="185">(100*(C185/C173-1))</f>
        <v>4.4922101519310642</v>
      </c>
      <c r="G185" s="216">
        <f t="shared" ref="G185" si="186">100*(C185/C161-1)</f>
        <v>6.2356293603223367</v>
      </c>
      <c r="H185" s="209">
        <f t="shared" si="86"/>
        <v>1.0388471641570165</v>
      </c>
    </row>
    <row r="186" spans="1:8" ht="16.5" customHeight="1">
      <c r="A186" s="234" t="str">
        <f>'Cav. Mecânico'!A185</f>
        <v>JULHO|18</v>
      </c>
      <c r="B186" s="233">
        <f>[231]CARROCERIA!$D$21</f>
        <v>90096.666666666672</v>
      </c>
      <c r="C186" s="207">
        <f t="shared" ref="C186" si="187">(100*B186/B$8)*$F$53</f>
        <v>153.46411391750647</v>
      </c>
      <c r="D186" s="214">
        <f t="shared" ref="D186" si="188">100*(C186/C185-1)</f>
        <v>0</v>
      </c>
      <c r="E186" s="214">
        <f t="shared" ref="E186" si="189">100*(C186/C$179-1)</f>
        <v>1.3574830314621256</v>
      </c>
      <c r="F186" s="215">
        <f t="shared" ref="F186" si="190">(100*(C186/C174-1))</f>
        <v>4.4922101519310642</v>
      </c>
      <c r="G186" s="216">
        <f t="shared" ref="G186" si="191">100*(C186/C162-1)</f>
        <v>5.0812534017572686</v>
      </c>
      <c r="H186" s="209">
        <f t="shared" si="86"/>
        <v>1.0388471641570165</v>
      </c>
    </row>
    <row r="187" spans="1:8" ht="16.5" customHeight="1">
      <c r="A187" s="234" t="str">
        <f>'Cav. Mecânico'!A186</f>
        <v>AGOSTO|18</v>
      </c>
      <c r="B187" s="233">
        <f>[232]CARROCERIA!$D$21</f>
        <v>90096.666666666672</v>
      </c>
      <c r="C187" s="207">
        <f t="shared" ref="C187" si="192">(100*B187/B$8)*$F$53</f>
        <v>153.46411391750647</v>
      </c>
      <c r="D187" s="214">
        <f t="shared" ref="D187" si="193">100*(C187/C186-1)</f>
        <v>0</v>
      </c>
      <c r="E187" s="214">
        <f t="shared" ref="E187" si="194">100*(C187/C$179-1)</f>
        <v>1.3574830314621256</v>
      </c>
      <c r="F187" s="215">
        <f t="shared" ref="F187" si="195">(100*(C187/C175-1))</f>
        <v>1.3574830314621256</v>
      </c>
      <c r="G187" s="216">
        <f t="shared" ref="G187" si="196">100*(C187/C163-1)</f>
        <v>5.0812534017572686</v>
      </c>
      <c r="H187" s="209">
        <f t="shared" si="86"/>
        <v>1.0388471641570165</v>
      </c>
    </row>
    <row r="188" spans="1:8" ht="16.5" customHeight="1">
      <c r="A188" s="234" t="str">
        <f>'Cav. Mecânico'!A187</f>
        <v>SETEMBRO|18</v>
      </c>
      <c r="B188" s="233">
        <f>[233]CARROCERIA!$D$21</f>
        <v>90096.666666666672</v>
      </c>
      <c r="C188" s="207">
        <f t="shared" ref="C188" si="197">(100*B188/B$8)*$F$53</f>
        <v>153.46411391750647</v>
      </c>
      <c r="D188" s="214">
        <f t="shared" ref="D188" si="198">100*(C188/C187-1)</f>
        <v>0</v>
      </c>
      <c r="E188" s="214">
        <f t="shared" ref="E188" si="199">100*(C188/C$179-1)</f>
        <v>1.3574830314621256</v>
      </c>
      <c r="F188" s="215">
        <f t="shared" ref="F188" si="200">(100*(C188/C176-1))</f>
        <v>1.3574830314621256</v>
      </c>
      <c r="G188" s="216">
        <f t="shared" ref="G188" si="201">100*(C188/C164-1)</f>
        <v>5.0812534017572686</v>
      </c>
      <c r="H188" s="209">
        <f t="shared" si="86"/>
        <v>1.0388471641570165</v>
      </c>
    </row>
    <row r="189" spans="1:8" ht="16.5" customHeight="1">
      <c r="A189" s="234" t="str">
        <f>'Cav. Mecânico'!A188</f>
        <v>OUTUBRO|18</v>
      </c>
      <c r="B189" s="233">
        <f>[234]CARROCERIA!$D$21</f>
        <v>91096.666666666672</v>
      </c>
      <c r="C189" s="207">
        <f t="shared" ref="C189" si="202">(100*B189/B$8)*$F$53</f>
        <v>155.16744123909629</v>
      </c>
      <c r="D189" s="214">
        <f t="shared" ref="D189" si="203">100*(C189/C188-1)</f>
        <v>1.1099189759147476</v>
      </c>
      <c r="E189" s="214">
        <f t="shared" ref="E189" si="204">100*(C189/C$179-1)</f>
        <v>2.4824689691378854</v>
      </c>
      <c r="F189" s="215">
        <f t="shared" ref="F189" si="205">(100*(C189/C177-1))</f>
        <v>2.4824689691378854</v>
      </c>
      <c r="G189" s="216">
        <f t="shared" ref="G189" si="206">100*(C189/C165-1)</f>
        <v>6.247570173392436</v>
      </c>
      <c r="H189" s="209">
        <f t="shared" si="86"/>
        <v>1.0274433751692342</v>
      </c>
    </row>
    <row r="190" spans="1:8" ht="16.5" customHeight="1">
      <c r="A190" s="234" t="str">
        <f>'Cav. Mecânico'!A189</f>
        <v>NOVEMBRO|18</v>
      </c>
      <c r="B190" s="233">
        <f>[235]CARROCERIA!$D$21</f>
        <v>91096.666666666672</v>
      </c>
      <c r="C190" s="207">
        <f t="shared" ref="C190" si="207">(100*B190/B$8)*$F$53</f>
        <v>155.16744123909629</v>
      </c>
      <c r="D190" s="214">
        <f t="shared" ref="D190" si="208">100*(C190/C189-1)</f>
        <v>0</v>
      </c>
      <c r="E190" s="214">
        <f t="shared" ref="E190" si="209">100*(C190/C$179-1)</f>
        <v>2.4824689691378854</v>
      </c>
      <c r="F190" s="215">
        <f t="shared" ref="F190" si="210">(100*(C190/C178-1))</f>
        <v>2.4824689691378854</v>
      </c>
      <c r="G190" s="216">
        <f t="shared" ref="G190" si="211">100*(C190/C166-1)</f>
        <v>6.247570173392436</v>
      </c>
      <c r="H190" s="209">
        <f t="shared" si="86"/>
        <v>1.0274433751692342</v>
      </c>
    </row>
    <row r="191" spans="1:8" ht="16.5" customHeight="1">
      <c r="A191" s="234" t="str">
        <f>'Cav. Mecânico'!A190</f>
        <v>DEZEMBRO|18</v>
      </c>
      <c r="B191" s="233">
        <f>[236]CARROCERIA!$D$21</f>
        <v>91096.666666666672</v>
      </c>
      <c r="C191" s="207">
        <f t="shared" ref="C191" si="212">(100*B191/B$8)*$F$53</f>
        <v>155.16744123909629</v>
      </c>
      <c r="D191" s="214">
        <f t="shared" ref="D191" si="213">100*(C191/C190-1)</f>
        <v>0</v>
      </c>
      <c r="E191" s="214">
        <f t="shared" ref="E191" si="214">100*(C191/C$179-1)</f>
        <v>2.4824689691378854</v>
      </c>
      <c r="F191" s="215">
        <f t="shared" ref="F191" si="215">(100*(C191/C179-1))</f>
        <v>2.4824689691378854</v>
      </c>
      <c r="G191" s="216">
        <f t="shared" ref="G191" si="216">100*(C191/C167-1)</f>
        <v>6.247570173392436</v>
      </c>
      <c r="H191" s="209">
        <f t="shared" si="86"/>
        <v>1.0274433751692342</v>
      </c>
    </row>
    <row r="192" spans="1:8" ht="16.5" customHeight="1">
      <c r="A192" s="234" t="str">
        <f>'Cav. Mecânico'!A191</f>
        <v>JANEIRO|19</v>
      </c>
      <c r="B192" s="233">
        <f>[237]CARROCERIA!$D$21</f>
        <v>91096.666666666672</v>
      </c>
      <c r="C192" s="207">
        <f t="shared" ref="C192" si="217">(100*B192/B$8)*$F$53</f>
        <v>155.16744123909629</v>
      </c>
      <c r="D192" s="214">
        <f t="shared" ref="D192" si="218">100*(C192/C191-1)</f>
        <v>0</v>
      </c>
      <c r="E192" s="214">
        <f t="shared" ref="E192:E197" si="219">100*(C192/C$191-1)</f>
        <v>0</v>
      </c>
      <c r="F192" s="215">
        <f t="shared" ref="F192" si="220">(100*(C192/C180-1))</f>
        <v>2.4824689691378854</v>
      </c>
      <c r="G192" s="216">
        <f t="shared" ref="G192" si="221">100*(C192/C168-1)</f>
        <v>5.6519890207600509</v>
      </c>
      <c r="H192" s="209">
        <f t="shared" si="86"/>
        <v>1.0274433751692342</v>
      </c>
    </row>
    <row r="193" spans="1:8" ht="16.5" customHeight="1">
      <c r="A193" s="273" t="str">
        <f>'Cav. Mecânico'!A192</f>
        <v>FEVEREIRO|19</v>
      </c>
      <c r="B193" s="274">
        <f>[238]CARROCERIA!$D$21</f>
        <v>92430</v>
      </c>
      <c r="C193" s="275">
        <f t="shared" ref="C193" si="222">(100*B193/B$8)*$F$53</f>
        <v>157.43854433454942</v>
      </c>
      <c r="D193" s="283">
        <f t="shared" ref="D193" si="223">100*(C193/C192-1)</f>
        <v>1.4636466756924982</v>
      </c>
      <c r="E193" s="283">
        <f t="shared" si="219"/>
        <v>1.4636466756924982</v>
      </c>
      <c r="F193" s="284">
        <f t="shared" ref="F193" si="224">(100*(C193/C181-1))</f>
        <v>3.9824502193722466</v>
      </c>
      <c r="G193" s="285">
        <f t="shared" ref="G193" si="225">100*(C193/C169-1)</f>
        <v>7.1983608458654036</v>
      </c>
      <c r="H193" s="209">
        <f t="shared" si="86"/>
        <v>1.0126221645208988</v>
      </c>
    </row>
    <row r="194" spans="1:8" ht="16.5" customHeight="1">
      <c r="A194" s="196" t="str">
        <f>'Cav. Mecânico'!A193</f>
        <v>MARÇO|19</v>
      </c>
      <c r="B194" s="280">
        <f>[239]CARROCERIA!$D$21</f>
        <v>92430</v>
      </c>
      <c r="C194" s="197">
        <f t="shared" ref="C194" si="226">(100*B194/B$8)*$F$53</f>
        <v>157.43854433454942</v>
      </c>
      <c r="D194" s="198">
        <f t="shared" ref="D194" si="227">100*(C194/C193-1)</f>
        <v>0</v>
      </c>
      <c r="E194" s="198">
        <f t="shared" si="219"/>
        <v>1.4636466756924982</v>
      </c>
      <c r="F194" s="199">
        <f t="shared" ref="F194" si="228">(100*(C194/C182-1))</f>
        <v>3.9824502193722466</v>
      </c>
      <c r="G194" s="200">
        <f t="shared" ref="G194" si="229">100*(C194/C170-1)</f>
        <v>7.1983608458654036</v>
      </c>
      <c r="H194" s="209">
        <f t="shared" si="86"/>
        <v>1.0126221645208988</v>
      </c>
    </row>
    <row r="195" spans="1:8" ht="16.5" customHeight="1">
      <c r="A195" s="196" t="str">
        <f>'Cav. Mecânico'!A194</f>
        <v>ABRIL|19</v>
      </c>
      <c r="B195" s="280">
        <f>[240]CARROCERIA!$D$21</f>
        <v>92430</v>
      </c>
      <c r="C195" s="197">
        <f t="shared" ref="C195" si="230">(100*B195/B$8)*$F$53</f>
        <v>157.43854433454942</v>
      </c>
      <c r="D195" s="198">
        <f t="shared" ref="D195" si="231">100*(C195/C194-1)</f>
        <v>0</v>
      </c>
      <c r="E195" s="198">
        <f t="shared" si="219"/>
        <v>1.4636466756924982</v>
      </c>
      <c r="F195" s="199">
        <f t="shared" ref="F195" si="232">(100*(C195/C183-1))</f>
        <v>2.5898109438010852</v>
      </c>
      <c r="G195" s="200">
        <f t="shared" ref="G195" si="233">100*(C195/C171-1)</f>
        <v>7.1983608458654036</v>
      </c>
      <c r="H195" s="209">
        <f t="shared" si="86"/>
        <v>1.0126221645208988</v>
      </c>
    </row>
    <row r="196" spans="1:8" ht="16.5" customHeight="1">
      <c r="A196" s="196" t="str">
        <f>'Cav. Mecânico'!A195</f>
        <v>MAIO|19</v>
      </c>
      <c r="B196" s="280">
        <f>[241]CARROCERIA!$D$21</f>
        <v>92430</v>
      </c>
      <c r="C196" s="197">
        <f t="shared" ref="C196" si="234">(100*B196/B$8)*$F$53</f>
        <v>157.43854433454942</v>
      </c>
      <c r="D196" s="198">
        <f t="shared" ref="D196" si="235">100*(C196/C195-1)</f>
        <v>0</v>
      </c>
      <c r="E196" s="198">
        <f t="shared" si="219"/>
        <v>1.4636466756924982</v>
      </c>
      <c r="F196" s="199">
        <f t="shared" ref="F196" si="236">(100*(C196/C184-1))</f>
        <v>2.5898109438010852</v>
      </c>
      <c r="G196" s="200">
        <f t="shared" ref="G196" si="237">100*(C196/C172-1)</f>
        <v>7.1983608458654036</v>
      </c>
      <c r="H196" s="209">
        <f t="shared" si="86"/>
        <v>1.0126221645208988</v>
      </c>
    </row>
    <row r="197" spans="1:8" ht="16.5" customHeight="1">
      <c r="A197" s="196" t="str">
        <f>'Cav. Mecânico'!A196</f>
        <v>JUNHO|19</v>
      </c>
      <c r="B197" s="280">
        <f>[242]CARROCERIA!$D$21</f>
        <v>92430</v>
      </c>
      <c r="C197" s="197">
        <f t="shared" ref="C197" si="238">(100*B197/B$8)*$F$53</f>
        <v>157.43854433454942</v>
      </c>
      <c r="D197" s="198">
        <f t="shared" ref="D197" si="239">100*(C197/C196-1)</f>
        <v>0</v>
      </c>
      <c r="E197" s="198">
        <f t="shared" si="219"/>
        <v>1.4636466756924982</v>
      </c>
      <c r="F197" s="199">
        <f t="shared" ref="F197" si="240">(100*(C197/C185-1))</f>
        <v>2.5898109438010852</v>
      </c>
      <c r="G197" s="200">
        <f t="shared" ref="G197" si="241">100*(C197/C173-1)</f>
        <v>7.1983608458654036</v>
      </c>
      <c r="H197" s="209">
        <f t="shared" si="86"/>
        <v>1.0126221645208988</v>
      </c>
    </row>
    <row r="198" spans="1:8" ht="16.5" customHeight="1">
      <c r="A198" s="196" t="str">
        <f>'Cav. Mecânico'!A197</f>
        <v>JULHO|19</v>
      </c>
      <c r="B198" s="280">
        <f>[243]CARROCERIA!$D$21</f>
        <v>92430</v>
      </c>
      <c r="C198" s="197">
        <f t="shared" ref="C198" si="242">(100*B198/B$8)*$F$53</f>
        <v>157.43854433454942</v>
      </c>
      <c r="D198" s="198">
        <f t="shared" ref="D198" si="243">100*(C198/C197-1)</f>
        <v>0</v>
      </c>
      <c r="E198" s="198">
        <f t="shared" ref="E198" si="244">100*(C198/C$191-1)</f>
        <v>1.4636466756924982</v>
      </c>
      <c r="F198" s="199">
        <f t="shared" ref="F198" si="245">(100*(C198/C186-1))</f>
        <v>2.5898109438010852</v>
      </c>
      <c r="G198" s="200">
        <f t="shared" ref="G198" si="246">100*(C198/C174-1)</f>
        <v>7.1983608458654036</v>
      </c>
      <c r="H198" s="209">
        <f t="shared" si="86"/>
        <v>1.0126221645208988</v>
      </c>
    </row>
    <row r="199" spans="1:8" ht="16.5" customHeight="1">
      <c r="A199" s="196" t="str">
        <f>'Cav. Mecânico'!A198</f>
        <v>AGOSTO|19</v>
      </c>
      <c r="B199" s="280">
        <f>[244]CARROCERIA!$D$21</f>
        <v>92430</v>
      </c>
      <c r="C199" s="197">
        <f t="shared" ref="C199" si="247">(100*B199/B$8)*$F$53</f>
        <v>157.43854433454942</v>
      </c>
      <c r="D199" s="198">
        <f t="shared" ref="D199" si="248">100*(C199/C198-1)</f>
        <v>0</v>
      </c>
      <c r="E199" s="198">
        <f t="shared" ref="E199" si="249">100*(C199/C$191-1)</f>
        <v>1.4636466756924982</v>
      </c>
      <c r="F199" s="199">
        <f t="shared" ref="F199" si="250">(100*(C199/C187-1))</f>
        <v>2.5898109438010852</v>
      </c>
      <c r="G199" s="200">
        <f t="shared" ref="G199" si="251">100*(C199/C175-1)</f>
        <v>3.9824502193722466</v>
      </c>
      <c r="H199" s="209">
        <f t="shared" si="86"/>
        <v>1.0126221645208988</v>
      </c>
    </row>
    <row r="200" spans="1:8" ht="16.5" customHeight="1">
      <c r="A200" s="196" t="str">
        <f>'Cav. Mecânico'!A199</f>
        <v>SETEMBRO|19</v>
      </c>
      <c r="B200" s="280">
        <f>[245]CARROCERIA!$D$21</f>
        <v>92430</v>
      </c>
      <c r="C200" s="197">
        <f t="shared" ref="C200" si="252">(100*B200/B$8)*$F$53</f>
        <v>157.43854433454942</v>
      </c>
      <c r="D200" s="198">
        <f t="shared" ref="D200" si="253">100*(C200/C199-1)</f>
        <v>0</v>
      </c>
      <c r="E200" s="198">
        <f t="shared" ref="E200" si="254">100*(C200/C$191-1)</f>
        <v>1.4636466756924982</v>
      </c>
      <c r="F200" s="199">
        <f t="shared" ref="F200" si="255">(100*(C200/C188-1))</f>
        <v>2.5898109438010852</v>
      </c>
      <c r="G200" s="200">
        <f t="shared" ref="G200" si="256">100*(C200/C176-1)</f>
        <v>3.9824502193722466</v>
      </c>
      <c r="H200" s="209">
        <f t="shared" si="86"/>
        <v>1.0126221645208988</v>
      </c>
    </row>
    <row r="201" spans="1:8" ht="16.5" customHeight="1">
      <c r="A201" s="196" t="str">
        <f>'Cav. Mecânico'!A200</f>
        <v>OUTUBRO|19</v>
      </c>
      <c r="B201" s="280">
        <f>[246]CARROCERIA!$D$21</f>
        <v>92430</v>
      </c>
      <c r="C201" s="197">
        <f t="shared" ref="C201" si="257">(100*B201/B$8)*$F$53</f>
        <v>157.43854433454942</v>
      </c>
      <c r="D201" s="198">
        <f t="shared" ref="D201" si="258">100*(C201/C200-1)</f>
        <v>0</v>
      </c>
      <c r="E201" s="198">
        <f t="shared" ref="E201" si="259">100*(C201/C$191-1)</f>
        <v>1.4636466756924982</v>
      </c>
      <c r="F201" s="199">
        <f t="shared" ref="F201" si="260">(100*(C201/C189-1))</f>
        <v>1.4636466756924982</v>
      </c>
      <c r="G201" s="200">
        <f t="shared" ref="G201" si="261">100*(C201/C177-1)</f>
        <v>3.9824502193722466</v>
      </c>
      <c r="H201" s="209">
        <f t="shared" si="86"/>
        <v>1.0126221645208988</v>
      </c>
    </row>
    <row r="202" spans="1:8" ht="16.5" customHeight="1">
      <c r="A202" s="196" t="str">
        <f>'Cav. Mecânico'!A201</f>
        <v>NOVEMBRO|19</v>
      </c>
      <c r="B202" s="280">
        <f>[247]CARROCERIA!$D$21</f>
        <v>92430</v>
      </c>
      <c r="C202" s="197">
        <f t="shared" ref="C202" si="262">(100*B202/B$8)*$F$53</f>
        <v>157.43854433454942</v>
      </c>
      <c r="D202" s="198">
        <f t="shared" ref="D202" si="263">100*(C202/C201-1)</f>
        <v>0</v>
      </c>
      <c r="E202" s="198">
        <f t="shared" ref="E202" si="264">100*(C202/C$191-1)</f>
        <v>1.4636466756924982</v>
      </c>
      <c r="F202" s="199">
        <f t="shared" ref="F202" si="265">(100*(C202/C190-1))</f>
        <v>1.4636466756924982</v>
      </c>
      <c r="G202" s="200">
        <f t="shared" ref="G202" si="266">100*(C202/C178-1)</f>
        <v>3.9824502193722466</v>
      </c>
      <c r="H202" s="209">
        <f t="shared" si="86"/>
        <v>1.0126221645208988</v>
      </c>
    </row>
    <row r="203" spans="1:8" ht="16.5" customHeight="1">
      <c r="A203" s="196" t="str">
        <f>'Cav. Mecânico'!A202</f>
        <v>DEZEMBRO|19</v>
      </c>
      <c r="B203" s="280">
        <f>[248]CARROCERIA!$D$21</f>
        <v>92430</v>
      </c>
      <c r="C203" s="197">
        <f t="shared" ref="C203" si="267">(100*B203/B$8)*$F$53</f>
        <v>157.43854433454942</v>
      </c>
      <c r="D203" s="198">
        <f t="shared" ref="D203" si="268">100*(C203/C202-1)</f>
        <v>0</v>
      </c>
      <c r="E203" s="198">
        <f t="shared" ref="E203" si="269">100*(C203/C$191-1)</f>
        <v>1.4636466756924982</v>
      </c>
      <c r="F203" s="199">
        <f t="shared" ref="F203" si="270">(100*(C203/C191-1))</f>
        <v>1.4636466756924982</v>
      </c>
      <c r="G203" s="200">
        <f t="shared" ref="G203" si="271">100*(C203/C179-1)</f>
        <v>3.9824502193722466</v>
      </c>
      <c r="H203" s="209">
        <f t="shared" si="86"/>
        <v>1.0126221645208988</v>
      </c>
    </row>
    <row r="204" spans="1:8" ht="16.5" customHeight="1">
      <c r="A204" s="196" t="str">
        <f>'Cav. Mecânico'!A203</f>
        <v>JANEIRO|20</v>
      </c>
      <c r="B204" s="280">
        <f>[249]CARROCERIA!$D$21</f>
        <v>92430</v>
      </c>
      <c r="C204" s="197">
        <f t="shared" ref="C204" si="272">(100*B204/B$8)*$F$53</f>
        <v>157.43854433454942</v>
      </c>
      <c r="D204" s="198">
        <f t="shared" ref="D204" si="273">100*(C204/C203-1)</f>
        <v>0</v>
      </c>
      <c r="E204" s="198">
        <f t="shared" ref="E204:E209" si="274">100*(C204/C$203-1)</f>
        <v>0</v>
      </c>
      <c r="F204" s="199">
        <f t="shared" ref="F204" si="275">(100*(C204/C192-1))</f>
        <v>1.4636466756924982</v>
      </c>
      <c r="G204" s="200">
        <f t="shared" ref="G204" si="276">100*(C204/C180-1)</f>
        <v>3.9824502193722466</v>
      </c>
      <c r="H204" s="209">
        <f t="shared" si="86"/>
        <v>1.0126221645208988</v>
      </c>
    </row>
    <row r="205" spans="1:8" ht="16.5" customHeight="1">
      <c r="A205" s="196" t="str">
        <f>'Cav. Mecânico'!A204</f>
        <v>FEVEREIRO|20</v>
      </c>
      <c r="B205" s="280">
        <f>[250]CARROCERIA!$D$21</f>
        <v>92430</v>
      </c>
      <c r="C205" s="197">
        <f t="shared" ref="C205" si="277">(100*B205/B$8)*$F$53</f>
        <v>157.43854433454942</v>
      </c>
      <c r="D205" s="198">
        <f t="shared" ref="D205" si="278">100*(C205/C204-1)</f>
        <v>0</v>
      </c>
      <c r="E205" s="198">
        <f t="shared" si="274"/>
        <v>0</v>
      </c>
      <c r="F205" s="199">
        <f t="shared" ref="F205" si="279">(100*(C205/C193-1))</f>
        <v>0</v>
      </c>
      <c r="G205" s="200">
        <f t="shared" ref="G205" si="280">100*(C205/C181-1)</f>
        <v>3.9824502193722466</v>
      </c>
      <c r="H205" s="209">
        <f t="shared" si="86"/>
        <v>1.0126221645208988</v>
      </c>
    </row>
    <row r="206" spans="1:8" ht="16.5" customHeight="1">
      <c r="A206" s="196" t="str">
        <f>'Cav. Mecânico'!A205</f>
        <v>MARÇO|20</v>
      </c>
      <c r="B206" s="280">
        <f>[251]CARROCERIA!$D$21</f>
        <v>92430</v>
      </c>
      <c r="C206" s="197">
        <f t="shared" ref="C206" si="281">(100*B206/B$8)*$F$53</f>
        <v>157.43854433454942</v>
      </c>
      <c r="D206" s="198">
        <f t="shared" ref="D206" si="282">100*(C206/C205-1)</f>
        <v>0</v>
      </c>
      <c r="E206" s="198">
        <f t="shared" si="274"/>
        <v>0</v>
      </c>
      <c r="F206" s="199">
        <f t="shared" ref="F206" si="283">(100*(C206/C194-1))</f>
        <v>0</v>
      </c>
      <c r="G206" s="200">
        <f t="shared" ref="G206" si="284">100*(C206/C182-1)</f>
        <v>3.9824502193722466</v>
      </c>
      <c r="H206" s="209">
        <f t="shared" si="86"/>
        <v>1.0126221645208988</v>
      </c>
    </row>
    <row r="207" spans="1:8" ht="16.5" customHeight="1">
      <c r="A207" s="196" t="str">
        <f>'Cav. Mecânico'!A206</f>
        <v>ABRIL|20</v>
      </c>
      <c r="B207" s="280">
        <f>[252]CARROCERIA!$D$21</f>
        <v>92430</v>
      </c>
      <c r="C207" s="197">
        <f t="shared" ref="C207" si="285">(100*B207/B$8)*$F$53</f>
        <v>157.43854433454942</v>
      </c>
      <c r="D207" s="198">
        <f t="shared" ref="D207" si="286">100*(C207/C206-1)</f>
        <v>0</v>
      </c>
      <c r="E207" s="198">
        <f t="shared" si="274"/>
        <v>0</v>
      </c>
      <c r="F207" s="199">
        <f t="shared" ref="F207" si="287">(100*(C207/C195-1))</f>
        <v>0</v>
      </c>
      <c r="G207" s="200">
        <f t="shared" ref="G207" si="288">100*(C207/C183-1)</f>
        <v>2.5898109438010852</v>
      </c>
      <c r="H207" s="209">
        <f t="shared" si="86"/>
        <v>1.0126221645208988</v>
      </c>
    </row>
    <row r="208" spans="1:8" ht="16.5" customHeight="1">
      <c r="A208" s="196" t="str">
        <f>'Cav. Mecânico'!A207</f>
        <v>MAIO|20</v>
      </c>
      <c r="B208" s="280">
        <f>[253]CARROCERIA!$D$21</f>
        <v>93596.666666666672</v>
      </c>
      <c r="C208" s="197">
        <f t="shared" ref="C208" si="289">(100*B208/B$8)*$F$53</f>
        <v>159.42575954307094</v>
      </c>
      <c r="D208" s="198">
        <f t="shared" ref="D208" si="290">100*(C208/C207-1)</f>
        <v>1.2622164520898815</v>
      </c>
      <c r="E208" s="198">
        <f t="shared" si="274"/>
        <v>1.2622164520898815</v>
      </c>
      <c r="F208" s="199">
        <f t="shared" ref="F208" si="291">(100*(C208/C196-1))</f>
        <v>1.2622164520898815</v>
      </c>
      <c r="G208" s="200">
        <f t="shared" ref="G208" si="292">100*(C208/C184-1)</f>
        <v>3.8847164157016723</v>
      </c>
      <c r="H208" s="209">
        <f t="shared" si="86"/>
        <v>1</v>
      </c>
    </row>
    <row r="209" spans="1:8" ht="16.5" customHeight="1">
      <c r="A209" s="196" t="str">
        <f>'Cav. Mecânico'!A208</f>
        <v>JUNHO|20</v>
      </c>
      <c r="B209" s="280">
        <f>[254]CARROCERIA!$D$21</f>
        <v>93596.666666666672</v>
      </c>
      <c r="C209" s="197">
        <f t="shared" ref="C209" si="293">(100*B209/B$8)*$F$53</f>
        <v>159.42575954307094</v>
      </c>
      <c r="D209" s="198">
        <f t="shared" ref="D209" si="294">100*(C209/C208-1)</f>
        <v>0</v>
      </c>
      <c r="E209" s="198">
        <f t="shared" si="274"/>
        <v>1.2622164520898815</v>
      </c>
      <c r="F209" s="199">
        <f t="shared" ref="F209" si="295">(100*(C209/C197-1))</f>
        <v>1.2622164520898815</v>
      </c>
      <c r="G209" s="200">
        <f t="shared" ref="G209" si="296">100*(C209/C185-1)</f>
        <v>3.8847164157016723</v>
      </c>
      <c r="H209" s="209">
        <f t="shared" si="86"/>
        <v>1</v>
      </c>
    </row>
    <row r="210" spans="1:8" ht="16.5" customHeight="1">
      <c r="A210" s="196" t="str">
        <f>'Cav. Mecânico'!A209</f>
        <v>JULHO|20</v>
      </c>
      <c r="B210" s="280">
        <f>[255]CARROCERIA!$D$21</f>
        <v>93596.666666666672</v>
      </c>
      <c r="C210" s="197">
        <f t="shared" ref="C210" si="297">(100*B210/B$8)*$F$53</f>
        <v>159.42575954307094</v>
      </c>
      <c r="D210" s="198">
        <f t="shared" ref="D210" si="298">100*(C210/C209-1)</f>
        <v>0</v>
      </c>
      <c r="E210" s="198">
        <f t="shared" ref="E210" si="299">100*(C210/C$203-1)</f>
        <v>1.2622164520898815</v>
      </c>
      <c r="F210" s="199">
        <f t="shared" ref="F210" si="300">(100*(C210/C198-1))</f>
        <v>1.2622164520898815</v>
      </c>
      <c r="G210" s="200">
        <f t="shared" ref="G210" si="301">100*(C210/C186-1)</f>
        <v>3.8847164157016723</v>
      </c>
      <c r="H210" s="209">
        <f t="shared" si="86"/>
        <v>1</v>
      </c>
    </row>
    <row r="211" spans="1:8" ht="16.5" customHeight="1">
      <c r="A211" s="196" t="str">
        <f>'Cav. Mecânico'!A210</f>
        <v>AGOSTO|20</v>
      </c>
      <c r="B211" s="280">
        <f>[256]CARROCERIA!$D$21</f>
        <v>93596.666666666672</v>
      </c>
      <c r="C211" s="197">
        <f t="shared" ref="C211" si="302">(100*B211/B$8)*$F$53</f>
        <v>159.42575954307094</v>
      </c>
      <c r="D211" s="198">
        <f t="shared" ref="D211" si="303">100*(C211/C210-1)</f>
        <v>0</v>
      </c>
      <c r="E211" s="198">
        <f t="shared" ref="E211" si="304">100*(C211/C$203-1)</f>
        <v>1.2622164520898815</v>
      </c>
      <c r="F211" s="199">
        <f t="shared" ref="F211" si="305">(100*(C211/C199-1))</f>
        <v>1.2622164520898815</v>
      </c>
      <c r="G211" s="200">
        <f t="shared" ref="G211" si="306">100*(C211/C187-1)</f>
        <v>3.8847164157016723</v>
      </c>
      <c r="H211" s="279">
        <f t="shared" si="86"/>
        <v>1</v>
      </c>
    </row>
    <row r="212" spans="1:8" ht="16.5" customHeight="1" thickBot="1">
      <c r="A212" s="151" t="str">
        <f>'Cav. Mecânico'!A211</f>
        <v>SETEMBRO|20</v>
      </c>
      <c r="B212" s="192">
        <f>[259]CARROCERIA!$D$21</f>
        <v>93596.666666666672</v>
      </c>
      <c r="C212" s="153">
        <f t="shared" ref="C212" si="307">(100*B212/B$8)*$F$53</f>
        <v>159.42575954307094</v>
      </c>
      <c r="D212" s="154">
        <f t="shared" ref="D212" si="308">100*(C212/C211-1)</f>
        <v>0</v>
      </c>
      <c r="E212" s="154">
        <f t="shared" ref="E212" si="309">100*(C212/C$203-1)</f>
        <v>1.2622164520898815</v>
      </c>
      <c r="F212" s="155">
        <f t="shared" ref="F212" si="310">(100*(C212/C200-1))</f>
        <v>1.2622164520898815</v>
      </c>
      <c r="G212" s="156">
        <f t="shared" ref="G212" si="311">100*(C212/C188-1)</f>
        <v>3.8847164157016723</v>
      </c>
      <c r="H212" s="157">
        <f t="shared" si="86"/>
        <v>1</v>
      </c>
    </row>
    <row r="213" spans="1:8">
      <c r="A213" s="103" t="s">
        <v>18</v>
      </c>
      <c r="B213" s="104"/>
      <c r="C213" s="104"/>
      <c r="D213" s="104"/>
      <c r="E213" s="104"/>
      <c r="F213" s="104"/>
      <c r="G213" s="104"/>
      <c r="H213" s="104"/>
    </row>
    <row r="214" spans="1:8">
      <c r="B214" s="104"/>
      <c r="C214" s="104"/>
      <c r="D214" s="104"/>
      <c r="E214" s="104"/>
      <c r="F214" s="104"/>
      <c r="G214" s="104"/>
      <c r="H214" s="104"/>
    </row>
    <row r="215" spans="1:8">
      <c r="A215" s="106"/>
      <c r="B215" s="104"/>
      <c r="C215" s="104"/>
      <c r="D215" s="104"/>
      <c r="E215" s="104"/>
      <c r="F215" s="104"/>
      <c r="G215" s="104"/>
      <c r="H215" s="104"/>
    </row>
    <row r="216" spans="1:8">
      <c r="A216" s="106"/>
      <c r="B216" s="107"/>
      <c r="C216" s="107"/>
      <c r="D216" s="108"/>
      <c r="E216" s="107"/>
      <c r="F216" s="104"/>
      <c r="G216" s="104"/>
      <c r="H216" s="104"/>
    </row>
    <row r="217" spans="1:8">
      <c r="B217" s="104"/>
      <c r="C217" s="104"/>
      <c r="D217" s="104"/>
      <c r="E217" s="104"/>
      <c r="F217" s="104"/>
      <c r="G217" s="104"/>
      <c r="H217" s="104"/>
    </row>
    <row r="218" spans="1:8">
      <c r="B218" s="104"/>
      <c r="C218" s="104"/>
      <c r="D218" s="104"/>
      <c r="E218" s="104"/>
      <c r="F218" s="104"/>
      <c r="G218" s="104"/>
      <c r="H218" s="104"/>
    </row>
    <row r="219" spans="1:8">
      <c r="B219" s="104"/>
      <c r="C219" s="104"/>
      <c r="D219" s="104"/>
      <c r="E219" s="104"/>
      <c r="F219" s="104"/>
      <c r="G219" s="104"/>
      <c r="H219" s="104"/>
    </row>
    <row r="220" spans="1:8">
      <c r="B220" s="104"/>
      <c r="C220" s="104"/>
      <c r="D220" s="104"/>
      <c r="E220" s="104"/>
      <c r="F220" s="104"/>
      <c r="G220" s="104"/>
      <c r="H220" s="104"/>
    </row>
    <row r="221" spans="1:8">
      <c r="B221" s="104"/>
      <c r="C221" s="104"/>
      <c r="D221" s="104"/>
      <c r="E221" s="104"/>
      <c r="F221" s="104"/>
      <c r="G221" s="104"/>
      <c r="H221" s="104"/>
    </row>
    <row r="222" spans="1:8">
      <c r="B222" s="104"/>
      <c r="C222" s="104"/>
      <c r="D222" s="104"/>
      <c r="E222" s="104"/>
      <c r="F222" s="104"/>
      <c r="G222" s="104"/>
      <c r="H222" s="104"/>
    </row>
    <row r="223" spans="1:8">
      <c r="B223" s="104"/>
      <c r="C223" s="104"/>
      <c r="D223" s="104"/>
      <c r="E223" s="104"/>
      <c r="F223" s="104"/>
      <c r="G223" s="104"/>
      <c r="H223" s="104"/>
    </row>
    <row r="224" spans="1:8">
      <c r="B224" s="104"/>
      <c r="C224" s="104"/>
      <c r="D224" s="104"/>
      <c r="E224" s="104"/>
      <c r="F224" s="104"/>
      <c r="G224" s="104"/>
      <c r="H224" s="104"/>
    </row>
    <row r="225" spans="1:8">
      <c r="B225" s="104"/>
      <c r="C225" s="104"/>
      <c r="D225" s="104"/>
      <c r="E225" s="104"/>
      <c r="F225" s="104"/>
      <c r="G225" s="104"/>
      <c r="H225" s="104"/>
    </row>
    <row r="226" spans="1:8">
      <c r="B226" s="104"/>
      <c r="C226" s="104"/>
      <c r="D226" s="104"/>
      <c r="E226" s="104"/>
      <c r="F226" s="104"/>
      <c r="G226" s="104"/>
      <c r="H226" s="104"/>
    </row>
    <row r="227" spans="1:8">
      <c r="B227" s="104"/>
      <c r="C227" s="104"/>
      <c r="D227" s="104"/>
      <c r="E227" s="104"/>
      <c r="F227" s="104"/>
      <c r="G227" s="104"/>
      <c r="H227" s="104"/>
    </row>
    <row r="228" spans="1:8">
      <c r="B228" s="104"/>
      <c r="C228" s="104"/>
      <c r="D228" s="104"/>
      <c r="E228" s="104"/>
      <c r="F228" s="104"/>
      <c r="G228" s="104"/>
      <c r="H228" s="104"/>
    </row>
    <row r="229" spans="1:8">
      <c r="A229" s="105"/>
      <c r="B229" s="104"/>
      <c r="C229" s="104"/>
      <c r="D229" s="104"/>
      <c r="E229" s="104"/>
      <c r="F229" s="104"/>
      <c r="G229" s="104"/>
      <c r="H229" s="104"/>
    </row>
    <row r="230" spans="1:8">
      <c r="B230" s="104"/>
      <c r="C230" s="104"/>
      <c r="D230" s="104"/>
      <c r="E230" s="104"/>
      <c r="F230" s="104"/>
      <c r="G230" s="104"/>
      <c r="H230" s="104"/>
    </row>
    <row r="231" spans="1:8">
      <c r="B231" s="104"/>
      <c r="C231" s="104"/>
      <c r="D231" s="104"/>
      <c r="E231" s="104"/>
      <c r="F231" s="104"/>
      <c r="G231" s="104"/>
      <c r="H231" s="104"/>
    </row>
    <row r="232" spans="1:8">
      <c r="A232" s="106"/>
      <c r="B232" s="104"/>
      <c r="C232" s="104"/>
      <c r="D232" s="104"/>
      <c r="E232" s="104"/>
      <c r="F232" s="104"/>
      <c r="G232" s="104"/>
      <c r="H232" s="104"/>
    </row>
    <row r="233" spans="1:8">
      <c r="A233" s="106"/>
      <c r="B233" s="107"/>
      <c r="C233" s="107"/>
      <c r="D233" s="108"/>
      <c r="E233" s="107"/>
      <c r="F233" s="104"/>
      <c r="G233" s="104"/>
      <c r="H233" s="104"/>
    </row>
    <row r="234" spans="1:8">
      <c r="B234" s="104"/>
      <c r="C234" s="104"/>
      <c r="D234" s="104"/>
      <c r="E234" s="104"/>
      <c r="F234" s="104"/>
      <c r="G234" s="104"/>
      <c r="H234" s="104"/>
    </row>
    <row r="235" spans="1:8">
      <c r="B235" s="104"/>
      <c r="C235" s="104"/>
      <c r="D235" s="104"/>
      <c r="E235" s="104"/>
      <c r="F235" s="104"/>
      <c r="G235" s="104"/>
      <c r="H235" s="104"/>
    </row>
    <row r="236" spans="1:8">
      <c r="B236" s="104"/>
      <c r="C236" s="104"/>
      <c r="D236" s="104"/>
      <c r="E236" s="104"/>
      <c r="F236" s="104"/>
      <c r="G236" s="104"/>
      <c r="H236" s="104"/>
    </row>
    <row r="237" spans="1:8">
      <c r="B237" s="104"/>
      <c r="C237" s="104"/>
      <c r="D237" s="104"/>
      <c r="E237" s="104"/>
      <c r="F237" s="104"/>
      <c r="G237" s="104"/>
      <c r="H237" s="104"/>
    </row>
    <row r="238" spans="1:8">
      <c r="B238" s="104"/>
      <c r="C238" s="104"/>
      <c r="D238" s="104"/>
      <c r="E238" s="104"/>
      <c r="F238" s="104"/>
      <c r="G238" s="104"/>
      <c r="H238" s="104"/>
    </row>
    <row r="239" spans="1:8">
      <c r="B239" s="104"/>
      <c r="C239" s="104"/>
      <c r="D239" s="104"/>
      <c r="E239" s="104"/>
      <c r="F239" s="104"/>
      <c r="G239" s="104"/>
      <c r="H239" s="104"/>
    </row>
    <row r="240" spans="1:8">
      <c r="B240" s="104"/>
      <c r="C240" s="104"/>
      <c r="D240" s="104"/>
      <c r="E240" s="104"/>
      <c r="F240" s="104"/>
      <c r="G240" s="104"/>
      <c r="H240" s="104"/>
    </row>
    <row r="241" spans="1:8">
      <c r="B241" s="104"/>
      <c r="C241" s="104"/>
      <c r="D241" s="104"/>
      <c r="E241" s="104"/>
      <c r="F241" s="104"/>
      <c r="G241" s="104"/>
      <c r="H241" s="104"/>
    </row>
    <row r="242" spans="1:8">
      <c r="B242" s="104"/>
      <c r="C242" s="104"/>
      <c r="D242" s="104"/>
      <c r="E242" s="104"/>
      <c r="F242" s="104"/>
      <c r="G242" s="104"/>
      <c r="H242" s="104"/>
    </row>
    <row r="243" spans="1:8">
      <c r="B243" s="104"/>
      <c r="C243" s="104"/>
      <c r="D243" s="104"/>
      <c r="E243" s="104"/>
      <c r="F243" s="104"/>
      <c r="G243" s="104"/>
      <c r="H243" s="104"/>
    </row>
    <row r="244" spans="1:8">
      <c r="B244" s="104"/>
      <c r="C244" s="104"/>
      <c r="D244" s="104"/>
      <c r="E244" s="104"/>
      <c r="F244" s="104"/>
      <c r="G244" s="104"/>
      <c r="H244" s="104"/>
    </row>
    <row r="245" spans="1:8">
      <c r="B245" s="104"/>
      <c r="C245" s="104"/>
      <c r="D245" s="104"/>
      <c r="E245" s="104"/>
      <c r="F245" s="104"/>
      <c r="G245" s="104"/>
      <c r="H245" s="104"/>
    </row>
    <row r="246" spans="1:8">
      <c r="A246" s="105"/>
      <c r="B246" s="104"/>
      <c r="C246" s="104"/>
      <c r="D246" s="104"/>
      <c r="E246" s="104"/>
      <c r="F246" s="104"/>
      <c r="G246" s="104"/>
      <c r="H246" s="104"/>
    </row>
    <row r="247" spans="1:8">
      <c r="B247" s="104"/>
      <c r="C247" s="104"/>
      <c r="D247" s="104"/>
      <c r="E247" s="104"/>
      <c r="F247" s="104"/>
      <c r="G247" s="104"/>
      <c r="H247" s="104"/>
    </row>
    <row r="248" spans="1:8">
      <c r="B248" s="104"/>
      <c r="C248" s="104"/>
      <c r="D248" s="104"/>
      <c r="E248" s="104"/>
      <c r="F248" s="104"/>
      <c r="G248" s="104"/>
      <c r="H248" s="104"/>
    </row>
    <row r="249" spans="1:8">
      <c r="B249" s="104"/>
      <c r="C249" s="104"/>
      <c r="D249" s="104"/>
      <c r="E249" s="104"/>
      <c r="F249" s="104"/>
      <c r="G249" s="104"/>
      <c r="H249" s="104"/>
    </row>
    <row r="250" spans="1:8">
      <c r="B250" s="104"/>
      <c r="C250" s="104"/>
      <c r="D250" s="104"/>
      <c r="E250" s="104"/>
      <c r="F250" s="104"/>
      <c r="G250" s="104"/>
      <c r="H250" s="104"/>
    </row>
    <row r="251" spans="1:8">
      <c r="B251" s="104"/>
      <c r="C251" s="104"/>
      <c r="D251" s="104"/>
      <c r="E251" s="104"/>
      <c r="F251" s="104"/>
      <c r="G251" s="104"/>
      <c r="H251" s="104"/>
    </row>
    <row r="252" spans="1:8">
      <c r="B252" s="104"/>
      <c r="C252" s="104"/>
      <c r="D252" s="104"/>
      <c r="E252" s="104"/>
      <c r="F252" s="104"/>
      <c r="G252" s="104"/>
      <c r="H252" s="104"/>
    </row>
    <row r="253" spans="1:8">
      <c r="B253" s="104"/>
      <c r="C253" s="104"/>
      <c r="D253" s="104"/>
      <c r="E253" s="104"/>
      <c r="F253" s="104"/>
      <c r="G253" s="104"/>
      <c r="H253" s="104"/>
    </row>
    <row r="254" spans="1:8">
      <c r="B254" s="104"/>
      <c r="C254" s="104"/>
      <c r="D254" s="104"/>
      <c r="E254" s="104"/>
      <c r="F254" s="104"/>
      <c r="G254" s="104"/>
      <c r="H254" s="104"/>
    </row>
    <row r="255" spans="1:8">
      <c r="B255" s="104"/>
      <c r="C255" s="104"/>
      <c r="D255" s="104"/>
      <c r="E255" s="104"/>
      <c r="F255" s="104"/>
      <c r="G255" s="104"/>
      <c r="H255" s="104"/>
    </row>
    <row r="256" spans="1:8">
      <c r="B256" s="104"/>
      <c r="C256" s="104"/>
      <c r="D256" s="104"/>
      <c r="E256" s="104"/>
      <c r="F256" s="104"/>
      <c r="G256" s="104"/>
      <c r="H256" s="104"/>
    </row>
    <row r="257" spans="2:8">
      <c r="B257" s="104"/>
      <c r="C257" s="104"/>
      <c r="D257" s="104"/>
      <c r="E257" s="104"/>
      <c r="F257" s="104"/>
      <c r="G257" s="104"/>
      <c r="H257" s="104"/>
    </row>
    <row r="258" spans="2:8">
      <c r="B258" s="104"/>
      <c r="C258" s="104"/>
      <c r="D258" s="104"/>
      <c r="E258" s="104"/>
      <c r="F258" s="104"/>
      <c r="G258" s="104"/>
      <c r="H258" s="104"/>
    </row>
    <row r="259" spans="2:8">
      <c r="B259" s="104"/>
      <c r="C259" s="104"/>
      <c r="D259" s="104"/>
      <c r="E259" s="104"/>
      <c r="F259" s="104"/>
      <c r="G259" s="104"/>
      <c r="H259" s="104"/>
    </row>
    <row r="260" spans="2:8">
      <c r="B260" s="104"/>
      <c r="C260" s="104"/>
      <c r="D260" s="104"/>
      <c r="E260" s="104"/>
      <c r="F260" s="104"/>
      <c r="G260" s="104"/>
      <c r="H260" s="104"/>
    </row>
    <row r="261" spans="2:8">
      <c r="B261" s="104"/>
      <c r="C261" s="104"/>
      <c r="D261" s="104"/>
      <c r="E261" s="104"/>
      <c r="F261" s="104"/>
      <c r="G261" s="104"/>
      <c r="H261" s="104"/>
    </row>
    <row r="262" spans="2:8">
      <c r="B262" s="104"/>
      <c r="C262" s="104"/>
      <c r="D262" s="104"/>
      <c r="E262" s="104"/>
      <c r="F262" s="104"/>
      <c r="G262" s="104"/>
      <c r="H262" s="104"/>
    </row>
    <row r="263" spans="2:8">
      <c r="B263" s="104"/>
      <c r="C263" s="104"/>
      <c r="D263" s="104"/>
      <c r="E263" s="104"/>
      <c r="F263" s="104"/>
      <c r="G263" s="104"/>
      <c r="H263" s="104"/>
    </row>
    <row r="264" spans="2:8">
      <c r="B264" s="104"/>
      <c r="C264" s="104"/>
      <c r="D264" s="104"/>
      <c r="E264" s="104"/>
      <c r="F264" s="104"/>
      <c r="G264" s="104"/>
      <c r="H264" s="104"/>
    </row>
    <row r="265" spans="2:8">
      <c r="B265" s="104"/>
      <c r="C265" s="104"/>
      <c r="D265" s="104"/>
      <c r="E265" s="104"/>
      <c r="F265" s="104"/>
      <c r="G265" s="104"/>
      <c r="H265" s="104"/>
    </row>
    <row r="266" spans="2:8">
      <c r="B266" s="104"/>
      <c r="C266" s="104"/>
      <c r="D266" s="104"/>
      <c r="E266" s="104"/>
      <c r="F266" s="104"/>
      <c r="G266" s="104"/>
      <c r="H266" s="104"/>
    </row>
    <row r="267" spans="2:8">
      <c r="B267" s="104"/>
      <c r="C267" s="104"/>
      <c r="D267" s="104"/>
      <c r="E267" s="104"/>
      <c r="F267" s="104"/>
      <c r="G267" s="104"/>
      <c r="H267" s="104"/>
    </row>
    <row r="268" spans="2:8">
      <c r="B268" s="104"/>
      <c r="C268" s="104"/>
      <c r="D268" s="104"/>
      <c r="E268" s="104"/>
      <c r="F268" s="104"/>
      <c r="G268" s="104"/>
      <c r="H268" s="104"/>
    </row>
    <row r="269" spans="2:8">
      <c r="B269" s="104"/>
      <c r="C269" s="104"/>
      <c r="D269" s="104"/>
      <c r="E269" s="104"/>
      <c r="F269" s="104"/>
      <c r="G269" s="104"/>
      <c r="H269" s="104"/>
    </row>
    <row r="270" spans="2:8">
      <c r="B270" s="104"/>
      <c r="C270" s="104"/>
      <c r="D270" s="104"/>
      <c r="E270" s="104"/>
      <c r="F270" s="104"/>
      <c r="G270" s="104"/>
      <c r="H270" s="104"/>
    </row>
    <row r="271" spans="2:8">
      <c r="B271" s="104"/>
      <c r="C271" s="104"/>
      <c r="D271" s="104"/>
      <c r="E271" s="104"/>
      <c r="F271" s="104"/>
      <c r="G271" s="104"/>
      <c r="H271" s="104"/>
    </row>
    <row r="272" spans="2:8">
      <c r="B272" s="104"/>
      <c r="C272" s="104"/>
      <c r="D272" s="104"/>
      <c r="E272" s="104"/>
      <c r="F272" s="104"/>
      <c r="G272" s="104"/>
      <c r="H272" s="104"/>
    </row>
    <row r="273" spans="2:8">
      <c r="B273" s="104"/>
      <c r="C273" s="104"/>
      <c r="D273" s="104"/>
      <c r="E273" s="104"/>
      <c r="F273" s="104"/>
      <c r="G273" s="104"/>
      <c r="H273" s="104"/>
    </row>
    <row r="274" spans="2:8">
      <c r="B274" s="104"/>
      <c r="C274" s="104"/>
      <c r="D274" s="104"/>
      <c r="E274" s="104"/>
      <c r="F274" s="104"/>
      <c r="G274" s="104"/>
      <c r="H274" s="104"/>
    </row>
    <row r="275" spans="2:8">
      <c r="B275" s="104"/>
      <c r="C275" s="104"/>
      <c r="D275" s="104"/>
      <c r="E275" s="104"/>
      <c r="F275" s="104"/>
      <c r="G275" s="104"/>
      <c r="H275" s="104"/>
    </row>
    <row r="276" spans="2:8">
      <c r="B276" s="104"/>
      <c r="C276" s="104"/>
      <c r="D276" s="104"/>
      <c r="E276" s="104"/>
      <c r="F276" s="104"/>
      <c r="G276" s="104"/>
      <c r="H276" s="104"/>
    </row>
    <row r="277" spans="2:8">
      <c r="B277" s="104"/>
      <c r="C277" s="104"/>
      <c r="D277" s="104"/>
      <c r="E277" s="104"/>
      <c r="F277" s="104"/>
      <c r="G277" s="104"/>
      <c r="H277" s="104"/>
    </row>
    <row r="278" spans="2:8">
      <c r="B278" s="104"/>
      <c r="C278" s="104"/>
      <c r="D278" s="104"/>
      <c r="E278" s="104"/>
      <c r="F278" s="104"/>
      <c r="G278" s="104"/>
      <c r="H278" s="104"/>
    </row>
    <row r="279" spans="2:8">
      <c r="B279" s="104"/>
      <c r="C279" s="104"/>
      <c r="D279" s="104"/>
      <c r="E279" s="104"/>
      <c r="F279" s="104"/>
      <c r="G279" s="104"/>
      <c r="H279" s="104"/>
    </row>
    <row r="280" spans="2:8">
      <c r="B280" s="104"/>
      <c r="C280" s="104"/>
      <c r="D280" s="104"/>
      <c r="E280" s="104"/>
      <c r="F280" s="104"/>
      <c r="G280" s="104"/>
      <c r="H280" s="104"/>
    </row>
    <row r="281" spans="2:8">
      <c r="B281" s="104"/>
      <c r="C281" s="104"/>
      <c r="D281" s="104"/>
      <c r="E281" s="104"/>
      <c r="F281" s="104"/>
      <c r="G281" s="104"/>
      <c r="H281" s="104"/>
    </row>
    <row r="282" spans="2:8">
      <c r="B282" s="104"/>
      <c r="C282" s="104"/>
      <c r="D282" s="104"/>
      <c r="E282" s="104"/>
      <c r="F282" s="104"/>
      <c r="G282" s="104"/>
      <c r="H282" s="104"/>
    </row>
    <row r="283" spans="2:8">
      <c r="B283" s="104"/>
      <c r="C283" s="104"/>
      <c r="D283" s="104"/>
      <c r="E283" s="104"/>
      <c r="F283" s="104"/>
      <c r="G283" s="104"/>
      <c r="H283" s="104"/>
    </row>
    <row r="284" spans="2:8">
      <c r="B284" s="104"/>
      <c r="C284" s="104"/>
      <c r="D284" s="104"/>
      <c r="E284" s="104"/>
      <c r="F284" s="104"/>
      <c r="G284" s="104"/>
      <c r="H284" s="104"/>
    </row>
    <row r="285" spans="2:8">
      <c r="B285" s="104"/>
      <c r="C285" s="104"/>
      <c r="D285" s="104"/>
      <c r="E285" s="104"/>
      <c r="F285" s="104"/>
      <c r="G285" s="104"/>
      <c r="H285" s="104"/>
    </row>
    <row r="286" spans="2:8">
      <c r="B286" s="104"/>
      <c r="C286" s="104"/>
      <c r="D286" s="104"/>
      <c r="E286" s="104"/>
      <c r="F286" s="104"/>
      <c r="G286" s="104"/>
      <c r="H286" s="104"/>
    </row>
    <row r="287" spans="2:8">
      <c r="B287" s="104"/>
      <c r="C287" s="104"/>
      <c r="D287" s="104"/>
      <c r="E287" s="104"/>
      <c r="F287" s="104"/>
      <c r="G287" s="104"/>
      <c r="H287" s="104"/>
    </row>
    <row r="288" spans="2:8">
      <c r="B288" s="104"/>
      <c r="C288" s="104"/>
      <c r="D288" s="104"/>
      <c r="E288" s="104"/>
      <c r="F288" s="104"/>
      <c r="G288" s="104"/>
      <c r="H288" s="104"/>
    </row>
    <row r="289" spans="2:8">
      <c r="B289" s="104"/>
      <c r="C289" s="104"/>
      <c r="D289" s="104"/>
      <c r="E289" s="104"/>
      <c r="F289" s="104"/>
      <c r="G289" s="104"/>
      <c r="H289" s="104"/>
    </row>
    <row r="290" spans="2:8">
      <c r="B290" s="104"/>
      <c r="C290" s="104"/>
      <c r="D290" s="104"/>
      <c r="E290" s="104"/>
      <c r="F290" s="104"/>
      <c r="G290" s="104"/>
      <c r="H290" s="104"/>
    </row>
    <row r="291" spans="2:8">
      <c r="B291" s="104"/>
      <c r="C291" s="104"/>
      <c r="D291" s="104"/>
      <c r="E291" s="104"/>
      <c r="F291" s="104"/>
      <c r="G291" s="104"/>
      <c r="H291" s="104"/>
    </row>
    <row r="292" spans="2:8">
      <c r="B292" s="104"/>
      <c r="C292" s="104"/>
      <c r="D292" s="104"/>
      <c r="E292" s="104"/>
      <c r="F292" s="104"/>
      <c r="G292" s="104"/>
      <c r="H292" s="104"/>
    </row>
    <row r="293" spans="2:8">
      <c r="B293" s="104"/>
      <c r="C293" s="104"/>
      <c r="D293" s="104"/>
      <c r="E293" s="104"/>
      <c r="F293" s="104"/>
      <c r="G293" s="104"/>
      <c r="H293" s="104"/>
    </row>
    <row r="294" spans="2:8">
      <c r="B294" s="104"/>
      <c r="C294" s="104"/>
      <c r="D294" s="104"/>
      <c r="E294" s="104"/>
      <c r="F294" s="104"/>
      <c r="G294" s="104"/>
      <c r="H294" s="104"/>
    </row>
    <row r="295" spans="2:8">
      <c r="B295" s="104"/>
      <c r="C295" s="104"/>
      <c r="D295" s="104"/>
      <c r="E295" s="104"/>
      <c r="F295" s="104"/>
      <c r="G295" s="104"/>
      <c r="H295" s="104"/>
    </row>
    <row r="296" spans="2:8">
      <c r="B296" s="104"/>
      <c r="C296" s="104"/>
      <c r="D296" s="104"/>
      <c r="E296" s="104"/>
      <c r="F296" s="104"/>
      <c r="G296" s="104"/>
      <c r="H296" s="104"/>
    </row>
    <row r="297" spans="2:8">
      <c r="B297" s="104"/>
      <c r="C297" s="104"/>
      <c r="D297" s="104"/>
      <c r="E297" s="104"/>
      <c r="F297" s="104"/>
      <c r="G297" s="104"/>
      <c r="H297" s="104"/>
    </row>
    <row r="298" spans="2:8">
      <c r="B298" s="104"/>
      <c r="C298" s="104"/>
      <c r="D298" s="104"/>
      <c r="E298" s="104"/>
      <c r="F298" s="104"/>
      <c r="G298" s="104"/>
      <c r="H298" s="104"/>
    </row>
    <row r="299" spans="2:8">
      <c r="B299" s="104"/>
      <c r="C299" s="104"/>
      <c r="D299" s="104"/>
      <c r="E299" s="104"/>
      <c r="F299" s="104"/>
      <c r="G299" s="104"/>
      <c r="H299" s="104"/>
    </row>
    <row r="300" spans="2:8">
      <c r="B300" s="104"/>
      <c r="C300" s="104"/>
      <c r="D300" s="104"/>
      <c r="E300" s="104"/>
      <c r="F300" s="104"/>
      <c r="G300" s="104"/>
      <c r="H300" s="104"/>
    </row>
    <row r="301" spans="2:8">
      <c r="B301" s="104"/>
      <c r="C301" s="104"/>
      <c r="D301" s="104"/>
      <c r="E301" s="104"/>
      <c r="F301" s="104"/>
      <c r="G301" s="104"/>
      <c r="H301" s="104"/>
    </row>
    <row r="302" spans="2:8">
      <c r="B302" s="104"/>
      <c r="C302" s="104"/>
      <c r="D302" s="104"/>
      <c r="E302" s="104"/>
      <c r="F302" s="104"/>
      <c r="G302" s="104"/>
      <c r="H302" s="104"/>
    </row>
    <row r="303" spans="2:8">
      <c r="B303" s="104"/>
      <c r="C303" s="104"/>
      <c r="D303" s="104"/>
      <c r="E303" s="104"/>
      <c r="F303" s="104"/>
      <c r="G303" s="104"/>
      <c r="H303" s="104"/>
    </row>
    <row r="304" spans="2:8">
      <c r="B304" s="104"/>
      <c r="C304" s="104"/>
      <c r="D304" s="104"/>
      <c r="E304" s="104"/>
      <c r="F304" s="104"/>
      <c r="G304" s="104"/>
      <c r="H304" s="104"/>
    </row>
    <row r="305" spans="2:8">
      <c r="B305" s="104"/>
      <c r="C305" s="104"/>
      <c r="D305" s="104"/>
      <c r="E305" s="104"/>
      <c r="F305" s="104"/>
      <c r="G305" s="104"/>
      <c r="H305" s="104"/>
    </row>
    <row r="306" spans="2:8">
      <c r="B306" s="104"/>
      <c r="C306" s="104"/>
      <c r="D306" s="104"/>
      <c r="E306" s="104"/>
      <c r="F306" s="104"/>
      <c r="G306" s="104"/>
      <c r="H306" s="104"/>
    </row>
    <row r="307" spans="2:8">
      <c r="B307" s="104"/>
      <c r="C307" s="104"/>
      <c r="D307" s="104"/>
      <c r="E307" s="104"/>
      <c r="F307" s="104"/>
      <c r="G307" s="104"/>
      <c r="H307" s="104"/>
    </row>
    <row r="308" spans="2:8">
      <c r="B308" s="104"/>
      <c r="C308" s="104"/>
      <c r="D308" s="104"/>
      <c r="E308" s="104"/>
      <c r="F308" s="104"/>
      <c r="G308" s="104"/>
      <c r="H308" s="104"/>
    </row>
    <row r="309" spans="2:8">
      <c r="B309" s="104"/>
      <c r="C309" s="104"/>
      <c r="D309" s="104"/>
      <c r="E309" s="104"/>
      <c r="F309" s="104"/>
      <c r="G309" s="104"/>
      <c r="H309" s="104"/>
    </row>
    <row r="310" spans="2:8">
      <c r="B310" s="104"/>
      <c r="C310" s="104"/>
      <c r="D310" s="104"/>
      <c r="E310" s="104"/>
      <c r="F310" s="104"/>
      <c r="G310" s="104"/>
      <c r="H310" s="104"/>
    </row>
    <row r="311" spans="2:8">
      <c r="B311" s="104"/>
      <c r="C311" s="104"/>
      <c r="D311" s="104"/>
      <c r="E311" s="104"/>
      <c r="F311" s="104"/>
      <c r="G311" s="104"/>
      <c r="H311" s="104"/>
    </row>
    <row r="312" spans="2:8">
      <c r="B312" s="104"/>
      <c r="C312" s="104"/>
      <c r="D312" s="104"/>
      <c r="E312" s="104"/>
      <c r="F312" s="104"/>
      <c r="G312" s="104"/>
      <c r="H312" s="104"/>
    </row>
    <row r="313" spans="2:8">
      <c r="B313" s="104"/>
      <c r="C313" s="104"/>
      <c r="D313" s="104"/>
      <c r="E313" s="104"/>
      <c r="F313" s="104"/>
      <c r="G313" s="104"/>
      <c r="H313" s="104"/>
    </row>
    <row r="314" spans="2:8">
      <c r="B314" s="104"/>
      <c r="C314" s="104"/>
      <c r="D314" s="104"/>
      <c r="E314" s="104"/>
      <c r="F314" s="104"/>
      <c r="G314" s="104"/>
      <c r="H314" s="104"/>
    </row>
    <row r="315" spans="2:8">
      <c r="B315" s="104"/>
      <c r="C315" s="104"/>
      <c r="D315" s="104"/>
      <c r="E315" s="104"/>
      <c r="F315" s="104"/>
      <c r="G315" s="104"/>
      <c r="H315" s="104"/>
    </row>
    <row r="316" spans="2:8">
      <c r="B316" s="104"/>
      <c r="C316" s="104"/>
      <c r="D316" s="104"/>
      <c r="E316" s="104"/>
      <c r="F316" s="104"/>
      <c r="G316" s="104"/>
      <c r="H316" s="104"/>
    </row>
    <row r="317" spans="2:8">
      <c r="B317" s="104"/>
      <c r="C317" s="104"/>
      <c r="D317" s="104"/>
      <c r="E317" s="104"/>
      <c r="F317" s="104"/>
      <c r="G317" s="104"/>
      <c r="H317" s="104"/>
    </row>
    <row r="318" spans="2:8">
      <c r="B318" s="104"/>
      <c r="C318" s="104"/>
      <c r="D318" s="104"/>
      <c r="E318" s="104"/>
      <c r="F318" s="104"/>
      <c r="G318" s="104"/>
      <c r="H318" s="104"/>
    </row>
    <row r="319" spans="2:8">
      <c r="B319" s="104"/>
      <c r="C319" s="104"/>
      <c r="D319" s="104"/>
      <c r="E319" s="104"/>
      <c r="F319" s="104"/>
      <c r="G319" s="104"/>
      <c r="H319" s="104"/>
    </row>
    <row r="320" spans="2:8">
      <c r="B320" s="104"/>
      <c r="C320" s="104"/>
      <c r="D320" s="104"/>
      <c r="E320" s="104"/>
      <c r="F320" s="104"/>
      <c r="G320" s="104"/>
      <c r="H320" s="104"/>
    </row>
    <row r="321" spans="2:8">
      <c r="B321" s="104"/>
      <c r="C321" s="104"/>
      <c r="D321" s="104"/>
      <c r="E321" s="104"/>
      <c r="F321" s="104"/>
      <c r="G321" s="104"/>
      <c r="H321" s="104"/>
    </row>
    <row r="322" spans="2:8">
      <c r="B322" s="104"/>
      <c r="C322" s="104"/>
      <c r="D322" s="104"/>
      <c r="E322" s="104"/>
      <c r="F322" s="104"/>
      <c r="G322" s="104"/>
      <c r="H322" s="104"/>
    </row>
    <row r="323" spans="2:8">
      <c r="B323" s="104"/>
      <c r="C323" s="104"/>
      <c r="D323" s="104"/>
      <c r="E323" s="104"/>
      <c r="F323" s="104"/>
      <c r="G323" s="104"/>
      <c r="H323" s="104"/>
    </row>
    <row r="324" spans="2:8">
      <c r="B324" s="104"/>
      <c r="C324" s="104"/>
      <c r="D324" s="104"/>
      <c r="E324" s="104"/>
      <c r="F324" s="104"/>
      <c r="G324" s="104"/>
      <c r="H324" s="104"/>
    </row>
    <row r="325" spans="2:8">
      <c r="B325" s="104"/>
      <c r="C325" s="104"/>
      <c r="D325" s="104"/>
      <c r="E325" s="104"/>
      <c r="F325" s="104"/>
      <c r="G325" s="104"/>
      <c r="H325" s="104"/>
    </row>
    <row r="326" spans="2:8">
      <c r="B326" s="104"/>
      <c r="C326" s="104"/>
      <c r="D326" s="104"/>
      <c r="E326" s="104"/>
      <c r="F326" s="104"/>
      <c r="G326" s="104"/>
      <c r="H326" s="104"/>
    </row>
    <row r="327" spans="2:8">
      <c r="B327" s="104"/>
      <c r="C327" s="104"/>
      <c r="D327" s="104"/>
      <c r="E327" s="104"/>
      <c r="F327" s="104"/>
      <c r="G327" s="104"/>
      <c r="H327" s="104"/>
    </row>
    <row r="328" spans="2:8">
      <c r="B328" s="104"/>
      <c r="C328" s="104"/>
      <c r="D328" s="104"/>
      <c r="E328" s="104"/>
      <c r="F328" s="104"/>
      <c r="G328" s="104"/>
      <c r="H328" s="104"/>
    </row>
    <row r="329" spans="2:8">
      <c r="B329" s="104"/>
      <c r="C329" s="104"/>
      <c r="D329" s="104"/>
      <c r="E329" s="104"/>
      <c r="F329" s="104"/>
      <c r="G329" s="104"/>
      <c r="H329" s="104"/>
    </row>
    <row r="330" spans="2:8">
      <c r="B330" s="104"/>
      <c r="C330" s="104"/>
      <c r="D330" s="104"/>
      <c r="E330" s="104"/>
      <c r="F330" s="104"/>
      <c r="G330" s="104"/>
      <c r="H330" s="104"/>
    </row>
    <row r="331" spans="2:8">
      <c r="B331" s="104"/>
      <c r="C331" s="104"/>
      <c r="D331" s="104"/>
      <c r="E331" s="104"/>
      <c r="F331" s="104"/>
      <c r="G331" s="104"/>
      <c r="H331" s="104"/>
    </row>
    <row r="332" spans="2:8">
      <c r="B332" s="104"/>
      <c r="C332" s="104"/>
      <c r="D332" s="104"/>
      <c r="E332" s="104"/>
      <c r="F332" s="104"/>
      <c r="G332" s="104"/>
      <c r="H332" s="104"/>
    </row>
    <row r="333" spans="2:8">
      <c r="B333" s="104"/>
      <c r="C333" s="104"/>
      <c r="D333" s="104"/>
      <c r="E333" s="104"/>
      <c r="F333" s="104"/>
      <c r="G333" s="104"/>
      <c r="H333" s="104"/>
    </row>
    <row r="334" spans="2:8">
      <c r="B334" s="104"/>
      <c r="C334" s="104"/>
      <c r="D334" s="104"/>
      <c r="E334" s="104"/>
      <c r="F334" s="104"/>
      <c r="G334" s="104"/>
      <c r="H334" s="104"/>
    </row>
    <row r="335" spans="2:8">
      <c r="B335" s="104"/>
      <c r="C335" s="104"/>
      <c r="D335" s="104"/>
      <c r="E335" s="104"/>
      <c r="F335" s="104"/>
      <c r="G335" s="104"/>
      <c r="H335" s="104"/>
    </row>
    <row r="336" spans="2:8">
      <c r="B336" s="104"/>
      <c r="C336" s="104"/>
      <c r="D336" s="104"/>
      <c r="E336" s="104"/>
      <c r="F336" s="104"/>
      <c r="G336" s="104"/>
      <c r="H336" s="104"/>
    </row>
    <row r="337" spans="2:8">
      <c r="B337" s="104"/>
      <c r="C337" s="104"/>
      <c r="D337" s="104"/>
      <c r="E337" s="104"/>
      <c r="F337" s="104"/>
      <c r="G337" s="104"/>
      <c r="H337" s="104"/>
    </row>
    <row r="338" spans="2:8">
      <c r="B338" s="104"/>
      <c r="C338" s="104"/>
      <c r="D338" s="104"/>
      <c r="E338" s="104"/>
      <c r="F338" s="104"/>
      <c r="G338" s="104"/>
      <c r="H338" s="104"/>
    </row>
    <row r="339" spans="2:8">
      <c r="B339" s="104"/>
      <c r="C339" s="104"/>
      <c r="D339" s="104"/>
      <c r="E339" s="104"/>
      <c r="F339" s="104"/>
      <c r="G339" s="104"/>
      <c r="H339" s="104"/>
    </row>
    <row r="340" spans="2:8">
      <c r="B340" s="104"/>
      <c r="C340" s="104"/>
      <c r="D340" s="104"/>
      <c r="E340" s="104"/>
      <c r="F340" s="104"/>
      <c r="G340" s="104"/>
      <c r="H340" s="104"/>
    </row>
    <row r="341" spans="2:8">
      <c r="B341" s="104"/>
      <c r="C341" s="104"/>
      <c r="D341" s="104"/>
      <c r="E341" s="104"/>
      <c r="F341" s="104"/>
      <c r="G341" s="104"/>
      <c r="H341" s="104"/>
    </row>
    <row r="342" spans="2:8">
      <c r="B342" s="104"/>
      <c r="C342" s="104"/>
      <c r="D342" s="104"/>
      <c r="E342" s="104"/>
      <c r="F342" s="104"/>
      <c r="G342" s="104"/>
      <c r="H342" s="104"/>
    </row>
    <row r="343" spans="2:8">
      <c r="B343" s="104"/>
      <c r="C343" s="104"/>
      <c r="D343" s="104"/>
      <c r="E343" s="104"/>
      <c r="F343" s="104"/>
      <c r="G343" s="104"/>
      <c r="H343" s="104"/>
    </row>
    <row r="344" spans="2:8">
      <c r="B344" s="104"/>
      <c r="C344" s="104"/>
      <c r="D344" s="104"/>
      <c r="E344" s="104"/>
      <c r="F344" s="104"/>
      <c r="G344" s="104"/>
      <c r="H344" s="104"/>
    </row>
    <row r="345" spans="2:8">
      <c r="B345" s="104"/>
      <c r="C345" s="104"/>
      <c r="D345" s="104"/>
      <c r="E345" s="104"/>
      <c r="F345" s="104"/>
      <c r="G345" s="104"/>
      <c r="H345" s="104"/>
    </row>
    <row r="346" spans="2:8">
      <c r="B346" s="104"/>
      <c r="C346" s="104"/>
      <c r="D346" s="104"/>
      <c r="E346" s="104"/>
      <c r="F346" s="104"/>
      <c r="G346" s="104"/>
      <c r="H346" s="104"/>
    </row>
    <row r="347" spans="2:8">
      <c r="B347" s="104"/>
      <c r="C347" s="104"/>
      <c r="D347" s="104"/>
      <c r="E347" s="104"/>
      <c r="F347" s="104"/>
      <c r="G347" s="104"/>
      <c r="H347" s="104"/>
    </row>
    <row r="348" spans="2:8">
      <c r="B348" s="104"/>
      <c r="C348" s="104"/>
      <c r="D348" s="104"/>
      <c r="E348" s="104"/>
      <c r="F348" s="104"/>
      <c r="G348" s="104"/>
      <c r="H348" s="104"/>
    </row>
    <row r="349" spans="2:8">
      <c r="B349" s="104"/>
      <c r="C349" s="104"/>
      <c r="D349" s="104"/>
      <c r="E349" s="104"/>
      <c r="F349" s="104"/>
      <c r="G349" s="104"/>
      <c r="H349" s="104"/>
    </row>
    <row r="350" spans="2:8">
      <c r="B350" s="104"/>
      <c r="C350" s="104"/>
      <c r="D350" s="104"/>
      <c r="E350" s="104"/>
      <c r="F350" s="104"/>
      <c r="G350" s="104"/>
      <c r="H350" s="104"/>
    </row>
    <row r="351" spans="2:8">
      <c r="B351" s="104"/>
      <c r="C351" s="104"/>
      <c r="D351" s="104"/>
      <c r="E351" s="104"/>
      <c r="F351" s="104"/>
      <c r="G351" s="104"/>
      <c r="H351" s="104"/>
    </row>
    <row r="352" spans="2:8">
      <c r="B352" s="104"/>
      <c r="C352" s="104"/>
      <c r="D352" s="104"/>
      <c r="E352" s="104"/>
      <c r="F352" s="104"/>
      <c r="G352" s="104"/>
      <c r="H352" s="104"/>
    </row>
    <row r="353" spans="2:8">
      <c r="B353" s="104"/>
      <c r="C353" s="104"/>
      <c r="D353" s="104"/>
      <c r="E353" s="104"/>
      <c r="F353" s="104"/>
      <c r="G353" s="104"/>
      <c r="H353" s="104"/>
    </row>
    <row r="354" spans="2:8">
      <c r="B354" s="104"/>
      <c r="C354" s="104"/>
      <c r="D354" s="104"/>
      <c r="E354" s="104"/>
      <c r="F354" s="104"/>
      <c r="G354" s="104"/>
      <c r="H354" s="104"/>
    </row>
    <row r="355" spans="2:8">
      <c r="B355" s="104"/>
      <c r="C355" s="104"/>
      <c r="D355" s="104"/>
      <c r="E355" s="104"/>
      <c r="F355" s="104"/>
      <c r="G355" s="104"/>
      <c r="H355" s="104"/>
    </row>
    <row r="356" spans="2:8">
      <c r="B356" s="104"/>
      <c r="C356" s="104"/>
      <c r="D356" s="104"/>
      <c r="E356" s="104"/>
      <c r="F356" s="104"/>
      <c r="G356" s="104"/>
      <c r="H356" s="104"/>
    </row>
    <row r="357" spans="2:8">
      <c r="B357" s="104"/>
      <c r="C357" s="104"/>
      <c r="D357" s="104"/>
      <c r="E357" s="104"/>
      <c r="F357" s="104"/>
      <c r="G357" s="104"/>
      <c r="H357" s="104"/>
    </row>
    <row r="358" spans="2:8">
      <c r="B358" s="104"/>
      <c r="C358" s="104"/>
      <c r="D358" s="104"/>
      <c r="E358" s="104"/>
      <c r="F358" s="104"/>
      <c r="G358" s="104"/>
      <c r="H358" s="104"/>
    </row>
    <row r="359" spans="2:8">
      <c r="B359" s="104"/>
      <c r="C359" s="104"/>
      <c r="D359" s="104"/>
      <c r="E359" s="104"/>
      <c r="F359" s="104"/>
      <c r="G359" s="104"/>
      <c r="H359" s="104"/>
    </row>
    <row r="360" spans="2:8">
      <c r="B360" s="104"/>
      <c r="C360" s="104"/>
      <c r="D360" s="104"/>
      <c r="E360" s="104"/>
      <c r="F360" s="104"/>
      <c r="G360" s="104"/>
      <c r="H360" s="104"/>
    </row>
    <row r="361" spans="2:8">
      <c r="B361" s="104"/>
      <c r="C361" s="104"/>
      <c r="D361" s="104"/>
      <c r="E361" s="104"/>
      <c r="F361" s="104"/>
      <c r="G361" s="104"/>
      <c r="H361" s="104"/>
    </row>
    <row r="362" spans="2:8">
      <c r="B362" s="104"/>
      <c r="C362" s="104"/>
      <c r="D362" s="104"/>
      <c r="E362" s="104"/>
      <c r="F362" s="104"/>
      <c r="G362" s="104"/>
      <c r="H362" s="104"/>
    </row>
    <row r="363" spans="2:8">
      <c r="B363" s="104"/>
      <c r="C363" s="104"/>
      <c r="D363" s="104"/>
      <c r="E363" s="104"/>
      <c r="F363" s="104"/>
      <c r="G363" s="104"/>
      <c r="H363" s="104"/>
    </row>
    <row r="364" spans="2:8">
      <c r="B364" s="104"/>
      <c r="C364" s="104"/>
      <c r="D364" s="104"/>
      <c r="E364" s="104"/>
      <c r="F364" s="104"/>
      <c r="G364" s="104"/>
      <c r="H364" s="104"/>
    </row>
    <row r="365" spans="2:8">
      <c r="B365" s="104"/>
      <c r="C365" s="104"/>
      <c r="D365" s="104"/>
      <c r="E365" s="104"/>
      <c r="F365" s="104"/>
      <c r="G365" s="104"/>
      <c r="H365" s="104"/>
    </row>
    <row r="366" spans="2:8">
      <c r="B366" s="104"/>
      <c r="C366" s="104"/>
      <c r="D366" s="104"/>
      <c r="E366" s="104"/>
      <c r="F366" s="104"/>
      <c r="G366" s="104"/>
      <c r="H366" s="104"/>
    </row>
    <row r="367" spans="2:8">
      <c r="B367" s="104"/>
      <c r="C367" s="104"/>
      <c r="D367" s="104"/>
      <c r="E367" s="104"/>
      <c r="F367" s="104"/>
      <c r="G367" s="104"/>
      <c r="H367" s="104"/>
    </row>
    <row r="368" spans="2:8">
      <c r="B368" s="104"/>
      <c r="C368" s="104"/>
      <c r="D368" s="104"/>
      <c r="E368" s="104"/>
      <c r="F368" s="104"/>
      <c r="G368" s="104"/>
      <c r="H368" s="104"/>
    </row>
    <row r="369" spans="2:8">
      <c r="B369" s="104"/>
      <c r="C369" s="104"/>
      <c r="D369" s="104"/>
      <c r="E369" s="104"/>
      <c r="F369" s="104"/>
      <c r="G369" s="104"/>
      <c r="H369" s="104"/>
    </row>
    <row r="370" spans="2:8">
      <c r="B370" s="104"/>
      <c r="C370" s="104"/>
      <c r="D370" s="104"/>
      <c r="E370" s="104"/>
      <c r="F370" s="104"/>
      <c r="G370" s="104"/>
      <c r="H370" s="104"/>
    </row>
    <row r="371" spans="2:8">
      <c r="B371" s="104"/>
      <c r="C371" s="104"/>
      <c r="D371" s="104"/>
      <c r="E371" s="104"/>
      <c r="F371" s="104"/>
      <c r="G371" s="104"/>
      <c r="H371" s="104"/>
    </row>
    <row r="372" spans="2:8">
      <c r="B372" s="104"/>
      <c r="C372" s="104"/>
      <c r="D372" s="104"/>
      <c r="E372" s="104"/>
      <c r="F372" s="104"/>
      <c r="G372" s="104"/>
      <c r="H372" s="104"/>
    </row>
    <row r="373" spans="2:8">
      <c r="B373" s="104"/>
      <c r="C373" s="104"/>
      <c r="D373" s="104"/>
      <c r="E373" s="104"/>
      <c r="F373" s="104"/>
      <c r="G373" s="104"/>
      <c r="H373" s="104"/>
    </row>
    <row r="374" spans="2:8">
      <c r="B374" s="104"/>
      <c r="C374" s="104"/>
      <c r="D374" s="104"/>
      <c r="E374" s="104"/>
      <c r="F374" s="104"/>
      <c r="G374" s="104"/>
      <c r="H374" s="104"/>
    </row>
    <row r="375" spans="2:8">
      <c r="B375" s="104"/>
      <c r="C375" s="104"/>
      <c r="D375" s="104"/>
      <c r="E375" s="104"/>
      <c r="F375" s="104"/>
      <c r="G375" s="104"/>
      <c r="H375" s="104"/>
    </row>
    <row r="376" spans="2:8">
      <c r="B376" s="104"/>
      <c r="C376" s="104"/>
      <c r="D376" s="104"/>
      <c r="E376" s="104"/>
      <c r="F376" s="104"/>
      <c r="G376" s="104"/>
      <c r="H376" s="104"/>
    </row>
    <row r="377" spans="2:8">
      <c r="B377" s="104"/>
      <c r="C377" s="104"/>
      <c r="D377" s="104"/>
      <c r="E377" s="104"/>
      <c r="F377" s="104"/>
      <c r="G377" s="104"/>
      <c r="H377" s="104"/>
    </row>
    <row r="378" spans="2:8">
      <c r="B378" s="104"/>
      <c r="C378" s="104"/>
      <c r="D378" s="104"/>
      <c r="E378" s="104"/>
      <c r="F378" s="104"/>
      <c r="G378" s="104"/>
      <c r="H378" s="104"/>
    </row>
    <row r="379" spans="2:8">
      <c r="B379" s="104"/>
      <c r="C379" s="104"/>
      <c r="D379" s="104"/>
      <c r="E379" s="104"/>
      <c r="F379" s="104"/>
      <c r="G379" s="104"/>
      <c r="H379" s="104"/>
    </row>
    <row r="380" spans="2:8">
      <c r="B380" s="104"/>
      <c r="C380" s="104"/>
      <c r="D380" s="104"/>
      <c r="E380" s="104"/>
      <c r="F380" s="104"/>
      <c r="G380" s="104"/>
      <c r="H380" s="104"/>
    </row>
    <row r="381" spans="2:8">
      <c r="B381" s="104"/>
      <c r="C381" s="104"/>
      <c r="D381" s="104"/>
      <c r="E381" s="104"/>
      <c r="F381" s="104"/>
      <c r="G381" s="104"/>
      <c r="H381" s="104"/>
    </row>
    <row r="382" spans="2:8">
      <c r="B382" s="104"/>
      <c r="C382" s="104"/>
      <c r="D382" s="104"/>
      <c r="E382" s="104"/>
      <c r="F382" s="104"/>
      <c r="G382" s="104"/>
      <c r="H382" s="104"/>
    </row>
    <row r="383" spans="2:8">
      <c r="B383" s="104"/>
      <c r="C383" s="104"/>
      <c r="D383" s="104"/>
      <c r="E383" s="104"/>
      <c r="F383" s="104"/>
      <c r="G383" s="104"/>
      <c r="H383" s="104"/>
    </row>
    <row r="384" spans="2:8">
      <c r="B384" s="104"/>
      <c r="C384" s="104"/>
      <c r="D384" s="104"/>
      <c r="E384" s="104"/>
      <c r="F384" s="104"/>
      <c r="G384" s="104"/>
      <c r="H384" s="104"/>
    </row>
    <row r="385" spans="2:8">
      <c r="B385" s="104"/>
      <c r="C385" s="104"/>
      <c r="D385" s="104"/>
      <c r="E385" s="104"/>
      <c r="F385" s="104"/>
      <c r="G385" s="104"/>
      <c r="H385" s="104"/>
    </row>
    <row r="386" spans="2:8">
      <c r="B386" s="104"/>
      <c r="C386" s="104"/>
      <c r="D386" s="104"/>
      <c r="E386" s="104"/>
      <c r="F386" s="104"/>
      <c r="G386" s="104"/>
      <c r="H386" s="104"/>
    </row>
    <row r="387" spans="2:8">
      <c r="B387" s="104"/>
      <c r="C387" s="104"/>
      <c r="D387" s="104"/>
      <c r="E387" s="104"/>
      <c r="F387" s="104"/>
      <c r="G387" s="104"/>
      <c r="H387" s="104"/>
    </row>
    <row r="388" spans="2:8">
      <c r="B388" s="104"/>
      <c r="C388" s="104"/>
      <c r="D388" s="104"/>
      <c r="E388" s="104"/>
      <c r="F388" s="104"/>
      <c r="G388" s="104"/>
      <c r="H388" s="104"/>
    </row>
    <row r="389" spans="2:8">
      <c r="B389" s="104"/>
      <c r="C389" s="104"/>
      <c r="D389" s="104"/>
      <c r="E389" s="104"/>
      <c r="F389" s="104"/>
      <c r="G389" s="104"/>
      <c r="H389" s="104"/>
    </row>
    <row r="390" spans="2:8">
      <c r="B390" s="104"/>
      <c r="C390" s="104"/>
      <c r="D390" s="104"/>
      <c r="E390" s="104"/>
      <c r="F390" s="104"/>
      <c r="G390" s="104"/>
      <c r="H390" s="104"/>
    </row>
    <row r="391" spans="2:8">
      <c r="B391" s="104"/>
      <c r="C391" s="104"/>
      <c r="D391" s="104"/>
      <c r="E391" s="104"/>
      <c r="F391" s="104"/>
      <c r="G391" s="104"/>
      <c r="H391" s="104"/>
    </row>
    <row r="392" spans="2:8">
      <c r="B392" s="104"/>
      <c r="C392" s="104"/>
      <c r="D392" s="104"/>
      <c r="E392" s="104"/>
      <c r="F392" s="104"/>
      <c r="G392" s="104"/>
      <c r="H392" s="104"/>
    </row>
    <row r="393" spans="2:8">
      <c r="B393" s="104"/>
      <c r="C393" s="104"/>
      <c r="D393" s="104"/>
      <c r="E393" s="104"/>
      <c r="F393" s="104"/>
      <c r="G393" s="104"/>
      <c r="H393" s="104"/>
    </row>
    <row r="394" spans="2:8">
      <c r="B394" s="104"/>
      <c r="C394" s="104"/>
      <c r="D394" s="104"/>
      <c r="E394" s="104"/>
      <c r="F394" s="104"/>
      <c r="G394" s="104"/>
      <c r="H394" s="104"/>
    </row>
    <row r="395" spans="2:8">
      <c r="B395" s="104"/>
      <c r="C395" s="104"/>
      <c r="D395" s="104"/>
      <c r="E395" s="104"/>
      <c r="F395" s="104"/>
      <c r="G395" s="104"/>
      <c r="H395" s="104"/>
    </row>
    <row r="396" spans="2:8">
      <c r="B396" s="104"/>
      <c r="C396" s="104"/>
      <c r="D396" s="104"/>
      <c r="E396" s="104"/>
      <c r="F396" s="104"/>
      <c r="G396" s="104"/>
      <c r="H396" s="104"/>
    </row>
    <row r="397" spans="2:8">
      <c r="B397" s="104"/>
      <c r="C397" s="104"/>
      <c r="D397" s="104"/>
      <c r="E397" s="104"/>
      <c r="F397" s="104"/>
      <c r="G397" s="104"/>
      <c r="H397" s="104"/>
    </row>
    <row r="398" spans="2:8">
      <c r="B398" s="104"/>
      <c r="C398" s="104"/>
      <c r="D398" s="104"/>
      <c r="E398" s="104"/>
      <c r="F398" s="104"/>
      <c r="G398" s="104"/>
      <c r="H398" s="104"/>
    </row>
    <row r="399" spans="2:8">
      <c r="B399" s="104"/>
      <c r="C399" s="104"/>
      <c r="D399" s="104"/>
      <c r="E399" s="104"/>
      <c r="F399" s="104"/>
      <c r="G399" s="104"/>
      <c r="H399" s="104"/>
    </row>
    <row r="400" spans="2:8">
      <c r="B400" s="104"/>
      <c r="C400" s="104"/>
      <c r="D400" s="104"/>
      <c r="E400" s="104"/>
      <c r="F400" s="104"/>
      <c r="G400" s="104"/>
      <c r="H400" s="104"/>
    </row>
    <row r="401" spans="2:8">
      <c r="B401" s="104"/>
      <c r="C401" s="104"/>
      <c r="D401" s="104"/>
      <c r="E401" s="104"/>
      <c r="F401" s="104"/>
      <c r="G401" s="104"/>
      <c r="H401" s="104"/>
    </row>
    <row r="402" spans="2:8">
      <c r="B402" s="104"/>
      <c r="C402" s="104"/>
      <c r="D402" s="104"/>
      <c r="E402" s="104"/>
      <c r="F402" s="104"/>
      <c r="G402" s="104"/>
      <c r="H402" s="104"/>
    </row>
    <row r="403" spans="2:8">
      <c r="B403" s="104"/>
      <c r="C403" s="104"/>
      <c r="D403" s="104"/>
      <c r="E403" s="104"/>
      <c r="F403" s="104"/>
      <c r="G403" s="104"/>
      <c r="H403" s="104"/>
    </row>
    <row r="404" spans="2:8">
      <c r="B404" s="104"/>
      <c r="C404" s="104"/>
      <c r="D404" s="104"/>
      <c r="E404" s="104"/>
      <c r="F404" s="104"/>
      <c r="G404" s="104"/>
      <c r="H404" s="104"/>
    </row>
    <row r="405" spans="2:8">
      <c r="B405" s="104"/>
      <c r="C405" s="104"/>
      <c r="D405" s="104"/>
      <c r="E405" s="104"/>
      <c r="F405" s="104"/>
      <c r="G405" s="104"/>
      <c r="H405" s="104"/>
    </row>
    <row r="406" spans="2:8">
      <c r="B406" s="104"/>
      <c r="C406" s="104"/>
      <c r="D406" s="104"/>
      <c r="E406" s="104"/>
      <c r="F406" s="104"/>
      <c r="G406" s="104"/>
      <c r="H406" s="104"/>
    </row>
    <row r="407" spans="2:8">
      <c r="B407" s="104"/>
      <c r="C407" s="104"/>
      <c r="D407" s="104"/>
      <c r="E407" s="104"/>
      <c r="F407" s="104"/>
      <c r="G407" s="104"/>
      <c r="H407" s="104"/>
    </row>
    <row r="408" spans="2:8">
      <c r="B408" s="104"/>
      <c r="C408" s="104"/>
      <c r="D408" s="104"/>
      <c r="E408" s="104"/>
      <c r="F408" s="104"/>
      <c r="G408" s="104"/>
      <c r="H408" s="104"/>
    </row>
    <row r="409" spans="2:8">
      <c r="B409" s="104"/>
      <c r="C409" s="104"/>
      <c r="D409" s="104"/>
      <c r="E409" s="104"/>
      <c r="F409" s="104"/>
      <c r="G409" s="104"/>
      <c r="H409" s="104"/>
    </row>
    <row r="410" spans="2:8">
      <c r="B410" s="104"/>
      <c r="C410" s="104"/>
      <c r="D410" s="104"/>
      <c r="E410" s="104"/>
      <c r="F410" s="104"/>
      <c r="G410" s="104"/>
      <c r="H410" s="104"/>
    </row>
    <row r="411" spans="2:8">
      <c r="B411" s="104"/>
      <c r="C411" s="104"/>
      <c r="D411" s="104"/>
      <c r="E411" s="104"/>
      <c r="F411" s="104"/>
      <c r="G411" s="104"/>
      <c r="H411" s="104"/>
    </row>
    <row r="412" spans="2:8">
      <c r="B412" s="104"/>
      <c r="C412" s="104"/>
      <c r="D412" s="104"/>
      <c r="E412" s="104"/>
      <c r="F412" s="104"/>
      <c r="G412" s="104"/>
      <c r="H412" s="104"/>
    </row>
    <row r="413" spans="2:8">
      <c r="B413" s="104"/>
      <c r="C413" s="104"/>
      <c r="D413" s="104"/>
      <c r="E413" s="104"/>
      <c r="F413" s="104"/>
      <c r="G413" s="104"/>
      <c r="H413" s="104"/>
    </row>
    <row r="414" spans="2:8">
      <c r="B414" s="104"/>
      <c r="C414" s="104"/>
      <c r="D414" s="104"/>
      <c r="E414" s="104"/>
      <c r="F414" s="104"/>
      <c r="G414" s="104"/>
      <c r="H414" s="104"/>
    </row>
    <row r="415" spans="2:8">
      <c r="B415" s="104"/>
      <c r="C415" s="104"/>
      <c r="D415" s="104"/>
      <c r="E415" s="104"/>
      <c r="F415" s="104"/>
      <c r="G415" s="104"/>
      <c r="H415" s="104"/>
    </row>
    <row r="416" spans="2:8">
      <c r="B416" s="104"/>
      <c r="C416" s="104"/>
      <c r="D416" s="104"/>
      <c r="E416" s="104"/>
      <c r="F416" s="104"/>
      <c r="G416" s="104"/>
      <c r="H416" s="104"/>
    </row>
    <row r="417" spans="2:8">
      <c r="B417" s="104"/>
      <c r="C417" s="104"/>
      <c r="D417" s="104"/>
      <c r="E417" s="104"/>
      <c r="F417" s="104"/>
      <c r="G417" s="104"/>
      <c r="H417" s="104"/>
    </row>
    <row r="418" spans="2:8">
      <c r="B418" s="104"/>
      <c r="C418" s="104"/>
      <c r="D418" s="104"/>
      <c r="E418" s="104"/>
      <c r="F418" s="104"/>
      <c r="G418" s="104"/>
      <c r="H418" s="104"/>
    </row>
    <row r="419" spans="2:8">
      <c r="B419" s="104"/>
      <c r="C419" s="104"/>
      <c r="D419" s="104"/>
      <c r="E419" s="104"/>
      <c r="F419" s="104"/>
      <c r="G419" s="104"/>
      <c r="H419" s="104"/>
    </row>
    <row r="420" spans="2:8">
      <c r="B420" s="104"/>
      <c r="C420" s="104"/>
      <c r="D420" s="104"/>
      <c r="E420" s="104"/>
      <c r="F420" s="104"/>
      <c r="G420" s="104"/>
      <c r="H420" s="104"/>
    </row>
    <row r="421" spans="2:8">
      <c r="B421" s="104"/>
      <c r="C421" s="104"/>
      <c r="D421" s="104"/>
      <c r="E421" s="104"/>
      <c r="F421" s="104"/>
      <c r="G421" s="104"/>
      <c r="H421" s="104"/>
    </row>
    <row r="422" spans="2:8">
      <c r="B422" s="104"/>
      <c r="C422" s="104"/>
      <c r="D422" s="104"/>
      <c r="E422" s="104"/>
      <c r="F422" s="104"/>
      <c r="G422" s="104"/>
      <c r="H422" s="104"/>
    </row>
    <row r="423" spans="2:8">
      <c r="B423" s="104"/>
      <c r="C423" s="104"/>
      <c r="D423" s="104"/>
      <c r="E423" s="104"/>
      <c r="F423" s="104"/>
      <c r="G423" s="104"/>
      <c r="H423" s="104"/>
    </row>
    <row r="424" spans="2:8">
      <c r="B424" s="104"/>
      <c r="C424" s="104"/>
      <c r="D424" s="104"/>
      <c r="E424" s="104"/>
      <c r="F424" s="104"/>
      <c r="G424" s="104"/>
      <c r="H424" s="104"/>
    </row>
    <row r="425" spans="2:8">
      <c r="B425" s="104"/>
      <c r="C425" s="104"/>
      <c r="D425" s="104"/>
      <c r="E425" s="104"/>
      <c r="F425" s="104"/>
      <c r="G425" s="104"/>
      <c r="H425" s="104"/>
    </row>
    <row r="426" spans="2:8">
      <c r="B426" s="104"/>
      <c r="C426" s="104"/>
      <c r="D426" s="104"/>
      <c r="E426" s="104"/>
      <c r="F426" s="104"/>
      <c r="G426" s="104"/>
      <c r="H426" s="104"/>
    </row>
    <row r="427" spans="2:8">
      <c r="B427" s="104"/>
      <c r="C427" s="104"/>
      <c r="D427" s="104"/>
      <c r="E427" s="104"/>
      <c r="F427" s="104"/>
      <c r="G427" s="104"/>
      <c r="H427" s="104"/>
    </row>
    <row r="428" spans="2:8">
      <c r="B428" s="104"/>
      <c r="C428" s="104"/>
      <c r="D428" s="104"/>
      <c r="E428" s="104"/>
      <c r="F428" s="104"/>
      <c r="G428" s="104"/>
      <c r="H428" s="104"/>
    </row>
    <row r="429" spans="2:8">
      <c r="B429" s="104"/>
      <c r="C429" s="104"/>
      <c r="D429" s="104"/>
      <c r="E429" s="104"/>
      <c r="F429" s="104"/>
      <c r="G429" s="104"/>
      <c r="H429" s="104"/>
    </row>
    <row r="430" spans="2:8">
      <c r="B430" s="104"/>
      <c r="C430" s="104"/>
      <c r="D430" s="104"/>
      <c r="E430" s="104"/>
      <c r="F430" s="104"/>
      <c r="G430" s="104"/>
      <c r="H430" s="104"/>
    </row>
    <row r="431" spans="2:8">
      <c r="B431" s="104"/>
      <c r="C431" s="104"/>
      <c r="D431" s="104"/>
      <c r="E431" s="104"/>
      <c r="F431" s="104"/>
      <c r="G431" s="104"/>
      <c r="H431" s="104"/>
    </row>
    <row r="432" spans="2:8">
      <c r="B432" s="104"/>
      <c r="C432" s="104"/>
      <c r="D432" s="104"/>
      <c r="E432" s="104"/>
      <c r="F432" s="104"/>
      <c r="G432" s="104"/>
      <c r="H432" s="104"/>
    </row>
    <row r="433" spans="2:8">
      <c r="B433" s="104"/>
      <c r="C433" s="104"/>
      <c r="D433" s="104"/>
      <c r="E433" s="104"/>
      <c r="F433" s="104"/>
      <c r="G433" s="104"/>
      <c r="H433" s="104"/>
    </row>
    <row r="434" spans="2:8">
      <c r="B434" s="104"/>
      <c r="C434" s="104"/>
      <c r="D434" s="104"/>
      <c r="E434" s="104"/>
      <c r="F434" s="104"/>
      <c r="G434" s="104"/>
      <c r="H434" s="104"/>
    </row>
    <row r="435" spans="2:8">
      <c r="B435" s="104"/>
      <c r="C435" s="104"/>
      <c r="D435" s="104"/>
      <c r="E435" s="104"/>
      <c r="F435" s="104"/>
      <c r="G435" s="104"/>
      <c r="H435" s="104"/>
    </row>
    <row r="436" spans="2:8">
      <c r="B436" s="104"/>
      <c r="C436" s="104"/>
      <c r="D436" s="104"/>
      <c r="E436" s="104"/>
      <c r="F436" s="104"/>
      <c r="G436" s="104"/>
      <c r="H436" s="104"/>
    </row>
    <row r="437" spans="2:8">
      <c r="B437" s="104"/>
      <c r="C437" s="104"/>
      <c r="D437" s="104"/>
      <c r="E437" s="104"/>
      <c r="F437" s="104"/>
      <c r="G437" s="104"/>
      <c r="H437" s="104"/>
    </row>
    <row r="438" spans="2:8">
      <c r="B438" s="104"/>
      <c r="C438" s="104"/>
      <c r="D438" s="104"/>
      <c r="E438" s="104"/>
      <c r="F438" s="104"/>
      <c r="G438" s="104"/>
      <c r="H438" s="104"/>
    </row>
    <row r="439" spans="2:8">
      <c r="B439" s="104"/>
      <c r="C439" s="104"/>
      <c r="D439" s="104"/>
      <c r="E439" s="104"/>
      <c r="F439" s="104"/>
      <c r="G439" s="104"/>
      <c r="H439" s="104"/>
    </row>
    <row r="440" spans="2:8">
      <c r="B440" s="104"/>
      <c r="C440" s="104"/>
      <c r="D440" s="104"/>
      <c r="E440" s="104"/>
      <c r="F440" s="104"/>
      <c r="G440" s="104"/>
      <c r="H440" s="104"/>
    </row>
    <row r="441" spans="2:8">
      <c r="B441" s="104"/>
      <c r="C441" s="104"/>
      <c r="D441" s="104"/>
      <c r="E441" s="104"/>
      <c r="F441" s="104"/>
      <c r="G441" s="104"/>
      <c r="H441" s="104"/>
    </row>
    <row r="442" spans="2:8">
      <c r="B442" s="104"/>
      <c r="C442" s="104"/>
      <c r="D442" s="104"/>
      <c r="E442" s="104"/>
      <c r="F442" s="104"/>
      <c r="G442" s="104"/>
      <c r="H442" s="104"/>
    </row>
    <row r="443" spans="2:8">
      <c r="B443" s="104"/>
      <c r="C443" s="104"/>
      <c r="D443" s="104"/>
      <c r="E443" s="104"/>
      <c r="F443" s="104"/>
      <c r="G443" s="104"/>
      <c r="H443" s="104"/>
    </row>
    <row r="444" spans="2:8">
      <c r="B444" s="104"/>
      <c r="C444" s="104"/>
      <c r="D444" s="104"/>
      <c r="E444" s="104"/>
      <c r="F444" s="104"/>
      <c r="G444" s="104"/>
      <c r="H444" s="104"/>
    </row>
    <row r="445" spans="2:8">
      <c r="B445" s="104"/>
      <c r="C445" s="104"/>
      <c r="D445" s="104"/>
      <c r="E445" s="104"/>
      <c r="F445" s="104"/>
      <c r="G445" s="104"/>
      <c r="H445" s="104"/>
    </row>
    <row r="446" spans="2:8">
      <c r="B446" s="104"/>
      <c r="C446" s="104"/>
      <c r="D446" s="104"/>
      <c r="E446" s="104"/>
      <c r="F446" s="104"/>
      <c r="G446" s="104"/>
      <c r="H446" s="104"/>
    </row>
    <row r="447" spans="2:8">
      <c r="B447" s="104"/>
      <c r="C447" s="104"/>
      <c r="D447" s="104"/>
      <c r="E447" s="104"/>
      <c r="F447" s="104"/>
      <c r="G447" s="104"/>
      <c r="H447" s="104"/>
    </row>
    <row r="448" spans="2:8">
      <c r="B448" s="104"/>
      <c r="C448" s="104"/>
      <c r="D448" s="104"/>
      <c r="E448" s="104"/>
      <c r="F448" s="104"/>
      <c r="G448" s="104"/>
      <c r="H448" s="104"/>
    </row>
    <row r="449" spans="2:8">
      <c r="B449" s="104"/>
      <c r="C449" s="104"/>
      <c r="D449" s="104"/>
      <c r="E449" s="104"/>
      <c r="F449" s="104"/>
      <c r="G449" s="104"/>
      <c r="H449" s="104"/>
    </row>
    <row r="450" spans="2:8">
      <c r="B450" s="104"/>
      <c r="C450" s="104"/>
      <c r="D450" s="104"/>
      <c r="E450" s="104"/>
      <c r="F450" s="104"/>
      <c r="G450" s="104"/>
      <c r="H450" s="104"/>
    </row>
    <row r="451" spans="2:8">
      <c r="B451" s="104"/>
      <c r="C451" s="104"/>
      <c r="D451" s="104"/>
      <c r="E451" s="104"/>
      <c r="F451" s="104"/>
      <c r="G451" s="104"/>
      <c r="H451" s="104"/>
    </row>
    <row r="452" spans="2:8">
      <c r="B452" s="104"/>
      <c r="C452" s="104"/>
      <c r="D452" s="104"/>
      <c r="E452" s="104"/>
      <c r="F452" s="104"/>
      <c r="G452" s="104"/>
      <c r="H452" s="104"/>
    </row>
    <row r="453" spans="2:8">
      <c r="B453" s="104"/>
      <c r="C453" s="104"/>
      <c r="D453" s="104"/>
      <c r="E453" s="104"/>
      <c r="F453" s="104"/>
      <c r="G453" s="104"/>
      <c r="H453" s="104"/>
    </row>
    <row r="454" spans="2:8">
      <c r="B454" s="104"/>
      <c r="C454" s="104"/>
      <c r="D454" s="104"/>
      <c r="E454" s="104"/>
      <c r="F454" s="104"/>
      <c r="G454" s="104"/>
      <c r="H454" s="104"/>
    </row>
    <row r="455" spans="2:8">
      <c r="B455" s="104"/>
      <c r="C455" s="104"/>
      <c r="D455" s="104"/>
      <c r="E455" s="104"/>
      <c r="F455" s="104"/>
      <c r="G455" s="104"/>
      <c r="H455" s="104"/>
    </row>
    <row r="456" spans="2:8">
      <c r="B456" s="104"/>
      <c r="C456" s="104"/>
      <c r="D456" s="104"/>
      <c r="E456" s="104"/>
      <c r="F456" s="104"/>
      <c r="G456" s="104"/>
      <c r="H456" s="104"/>
    </row>
    <row r="457" spans="2:8">
      <c r="B457" s="104"/>
      <c r="C457" s="104"/>
      <c r="D457" s="104"/>
      <c r="E457" s="104"/>
      <c r="F457" s="104"/>
      <c r="G457" s="104"/>
      <c r="H457" s="104"/>
    </row>
    <row r="458" spans="2:8">
      <c r="B458" s="104"/>
      <c r="C458" s="104"/>
      <c r="D458" s="104"/>
      <c r="E458" s="104"/>
      <c r="F458" s="104"/>
      <c r="G458" s="104"/>
      <c r="H458" s="104"/>
    </row>
    <row r="459" spans="2:8">
      <c r="B459" s="104"/>
      <c r="C459" s="104"/>
      <c r="D459" s="104"/>
      <c r="E459" s="104"/>
      <c r="F459" s="104"/>
      <c r="G459" s="104"/>
      <c r="H459" s="104"/>
    </row>
    <row r="460" spans="2:8">
      <c r="B460" s="104"/>
      <c r="C460" s="104"/>
      <c r="D460" s="104"/>
      <c r="E460" s="104"/>
      <c r="F460" s="104"/>
      <c r="G460" s="104"/>
      <c r="H460" s="104"/>
    </row>
    <row r="461" spans="2:8">
      <c r="B461" s="104"/>
      <c r="C461" s="104"/>
      <c r="D461" s="104"/>
      <c r="E461" s="104"/>
      <c r="F461" s="104"/>
      <c r="G461" s="104"/>
      <c r="H461" s="104"/>
    </row>
    <row r="462" spans="2:8">
      <c r="B462" s="104"/>
      <c r="C462" s="104"/>
      <c r="D462" s="104"/>
      <c r="E462" s="104"/>
      <c r="F462" s="104"/>
      <c r="G462" s="104"/>
      <c r="H462" s="104"/>
    </row>
    <row r="463" spans="2:8">
      <c r="B463" s="104"/>
      <c r="C463" s="104"/>
      <c r="D463" s="104"/>
      <c r="E463" s="104"/>
      <c r="F463" s="104"/>
      <c r="G463" s="104"/>
      <c r="H463" s="104"/>
    </row>
    <row r="464" spans="2:8">
      <c r="B464" s="104"/>
      <c r="C464" s="104"/>
      <c r="D464" s="104"/>
      <c r="E464" s="104"/>
      <c r="F464" s="104"/>
      <c r="G464" s="104"/>
      <c r="H464" s="104"/>
    </row>
    <row r="465" spans="2:8">
      <c r="B465" s="104"/>
      <c r="C465" s="104"/>
      <c r="D465" s="104"/>
      <c r="E465" s="104"/>
      <c r="F465" s="104"/>
      <c r="G465" s="104"/>
      <c r="H465" s="104"/>
    </row>
    <row r="466" spans="2:8">
      <c r="B466" s="104"/>
      <c r="C466" s="104"/>
      <c r="D466" s="104"/>
      <c r="E466" s="104"/>
      <c r="F466" s="104"/>
      <c r="G466" s="104"/>
      <c r="H466" s="104"/>
    </row>
    <row r="467" spans="2:8">
      <c r="B467" s="104"/>
      <c r="C467" s="104"/>
      <c r="D467" s="104"/>
      <c r="E467" s="104"/>
      <c r="F467" s="104"/>
      <c r="G467" s="104"/>
      <c r="H467" s="104"/>
    </row>
    <row r="468" spans="2:8">
      <c r="B468" s="104"/>
      <c r="C468" s="104"/>
      <c r="D468" s="104"/>
      <c r="E468" s="104"/>
      <c r="F468" s="104"/>
      <c r="G468" s="104"/>
      <c r="H468" s="104"/>
    </row>
    <row r="469" spans="2:8">
      <c r="B469" s="104"/>
      <c r="C469" s="104"/>
      <c r="D469" s="104"/>
      <c r="E469" s="104"/>
      <c r="F469" s="104"/>
      <c r="G469" s="104"/>
      <c r="H469" s="104"/>
    </row>
    <row r="470" spans="2:8">
      <c r="B470" s="104"/>
      <c r="C470" s="104"/>
      <c r="D470" s="104"/>
      <c r="E470" s="104"/>
      <c r="F470" s="104"/>
      <c r="G470" s="104"/>
      <c r="H470" s="104"/>
    </row>
    <row r="471" spans="2:8">
      <c r="B471" s="104"/>
      <c r="C471" s="104"/>
      <c r="D471" s="104"/>
      <c r="E471" s="104"/>
      <c r="F471" s="104"/>
      <c r="G471" s="104"/>
      <c r="H471" s="104"/>
    </row>
    <row r="472" spans="2:8">
      <c r="B472" s="104"/>
      <c r="C472" s="104"/>
      <c r="D472" s="104"/>
      <c r="E472" s="104"/>
      <c r="F472" s="104"/>
      <c r="G472" s="104"/>
      <c r="H472" s="104"/>
    </row>
    <row r="473" spans="2:8">
      <c r="B473" s="104"/>
      <c r="C473" s="104"/>
      <c r="D473" s="104"/>
      <c r="E473" s="104"/>
      <c r="F473" s="104"/>
      <c r="G473" s="104"/>
      <c r="H473" s="104"/>
    </row>
    <row r="474" spans="2:8">
      <c r="B474" s="104"/>
      <c r="C474" s="104"/>
      <c r="D474" s="104"/>
      <c r="E474" s="104"/>
      <c r="F474" s="104"/>
      <c r="G474" s="104"/>
      <c r="H474" s="104"/>
    </row>
    <row r="475" spans="2:8">
      <c r="B475" s="104"/>
      <c r="C475" s="104"/>
      <c r="D475" s="104"/>
      <c r="E475" s="104"/>
      <c r="F475" s="104"/>
      <c r="G475" s="104"/>
      <c r="H475" s="104"/>
    </row>
    <row r="476" spans="2:8">
      <c r="B476" s="104"/>
      <c r="C476" s="104"/>
      <c r="D476" s="104"/>
      <c r="E476" s="104"/>
      <c r="F476" s="104"/>
      <c r="G476" s="104"/>
      <c r="H476" s="104"/>
    </row>
    <row r="477" spans="2:8">
      <c r="B477" s="104"/>
      <c r="C477" s="104"/>
      <c r="D477" s="104"/>
      <c r="E477" s="104"/>
      <c r="F477" s="104"/>
      <c r="G477" s="104"/>
      <c r="H477" s="104"/>
    </row>
    <row r="478" spans="2:8">
      <c r="B478" s="104"/>
      <c r="C478" s="104"/>
      <c r="D478" s="104"/>
      <c r="E478" s="104"/>
      <c r="F478" s="104"/>
      <c r="G478" s="104"/>
      <c r="H478" s="104"/>
    </row>
    <row r="479" spans="2:8">
      <c r="B479" s="104"/>
      <c r="C479" s="104"/>
      <c r="D479" s="104"/>
      <c r="E479" s="104"/>
      <c r="F479" s="104"/>
      <c r="G479" s="104"/>
      <c r="H479" s="104"/>
    </row>
    <row r="480" spans="2:8">
      <c r="B480" s="104"/>
      <c r="C480" s="104"/>
      <c r="D480" s="104"/>
      <c r="E480" s="104"/>
      <c r="F480" s="104"/>
      <c r="G480" s="104"/>
      <c r="H480" s="104"/>
    </row>
    <row r="481" spans="2:8">
      <c r="B481" s="104"/>
      <c r="C481" s="104"/>
      <c r="D481" s="104"/>
      <c r="E481" s="104"/>
      <c r="F481" s="104"/>
      <c r="G481" s="104"/>
      <c r="H481" s="104"/>
    </row>
    <row r="482" spans="2:8">
      <c r="B482" s="104"/>
      <c r="C482" s="104"/>
      <c r="D482" s="104"/>
      <c r="E482" s="104"/>
      <c r="F482" s="104"/>
      <c r="G482" s="104"/>
      <c r="H482" s="104"/>
    </row>
    <row r="483" spans="2:8">
      <c r="B483" s="104"/>
      <c r="C483" s="104"/>
      <c r="D483" s="104"/>
      <c r="E483" s="104"/>
      <c r="F483" s="104"/>
      <c r="G483" s="104"/>
      <c r="H483" s="104"/>
    </row>
    <row r="484" spans="2:8">
      <c r="B484" s="104"/>
      <c r="C484" s="104"/>
      <c r="D484" s="104"/>
      <c r="E484" s="104"/>
      <c r="F484" s="104"/>
      <c r="G484" s="104"/>
      <c r="H484" s="104"/>
    </row>
    <row r="485" spans="2:8">
      <c r="B485" s="104"/>
      <c r="C485" s="104"/>
      <c r="D485" s="104"/>
      <c r="E485" s="104"/>
      <c r="F485" s="104"/>
      <c r="G485" s="104"/>
      <c r="H485" s="104"/>
    </row>
    <row r="486" spans="2:8">
      <c r="B486" s="104"/>
      <c r="C486" s="104"/>
      <c r="D486" s="104"/>
      <c r="E486" s="104"/>
      <c r="F486" s="104"/>
      <c r="G486" s="104"/>
      <c r="H486" s="104"/>
    </row>
    <row r="487" spans="2:8">
      <c r="B487" s="104"/>
      <c r="C487" s="104"/>
      <c r="D487" s="104"/>
      <c r="E487" s="104"/>
      <c r="F487" s="104"/>
      <c r="G487" s="104"/>
      <c r="H487" s="104"/>
    </row>
    <row r="488" spans="2:8">
      <c r="B488" s="104"/>
      <c r="C488" s="104"/>
      <c r="D488" s="104"/>
      <c r="E488" s="104"/>
      <c r="F488" s="104"/>
      <c r="G488" s="104"/>
      <c r="H488" s="104"/>
    </row>
    <row r="489" spans="2:8">
      <c r="B489" s="104"/>
      <c r="C489" s="104"/>
      <c r="D489" s="104"/>
      <c r="E489" s="104"/>
      <c r="F489" s="104"/>
      <c r="G489" s="104"/>
      <c r="H489" s="104"/>
    </row>
    <row r="490" spans="2:8">
      <c r="B490" s="104"/>
      <c r="C490" s="104"/>
      <c r="D490" s="104"/>
      <c r="E490" s="104"/>
      <c r="F490" s="104"/>
      <c r="G490" s="104"/>
      <c r="H490" s="104"/>
    </row>
    <row r="491" spans="2:8">
      <c r="B491" s="104"/>
      <c r="C491" s="104"/>
      <c r="D491" s="104"/>
      <c r="E491" s="104"/>
      <c r="F491" s="104"/>
      <c r="G491" s="104"/>
      <c r="H491" s="104"/>
    </row>
    <row r="492" spans="2:8">
      <c r="B492" s="104"/>
      <c r="C492" s="104"/>
      <c r="D492" s="104"/>
      <c r="E492" s="104"/>
      <c r="F492" s="104"/>
      <c r="G492" s="104"/>
      <c r="H492" s="104"/>
    </row>
    <row r="493" spans="2:8">
      <c r="B493" s="104"/>
      <c r="C493" s="104"/>
      <c r="D493" s="104"/>
      <c r="E493" s="104"/>
      <c r="F493" s="104"/>
      <c r="G493" s="104"/>
      <c r="H493" s="104"/>
    </row>
    <row r="494" spans="2:8">
      <c r="B494" s="104"/>
      <c r="C494" s="104"/>
      <c r="D494" s="104"/>
      <c r="E494" s="104"/>
      <c r="F494" s="104"/>
      <c r="G494" s="104"/>
      <c r="H494" s="104"/>
    </row>
    <row r="495" spans="2:8">
      <c r="B495" s="104"/>
      <c r="C495" s="104"/>
      <c r="D495" s="104"/>
      <c r="E495" s="104"/>
      <c r="F495" s="104"/>
      <c r="G495" s="104"/>
      <c r="H495" s="104"/>
    </row>
    <row r="496" spans="2:8">
      <c r="B496" s="104"/>
      <c r="C496" s="104"/>
      <c r="D496" s="104"/>
      <c r="E496" s="104"/>
      <c r="F496" s="104"/>
      <c r="G496" s="104"/>
      <c r="H496" s="104"/>
    </row>
    <row r="497" spans="2:8">
      <c r="B497" s="104"/>
      <c r="C497" s="104"/>
      <c r="D497" s="104"/>
      <c r="E497" s="104"/>
      <c r="F497" s="104"/>
      <c r="G497" s="104"/>
      <c r="H497" s="104"/>
    </row>
    <row r="498" spans="2:8">
      <c r="B498" s="104"/>
      <c r="C498" s="104"/>
      <c r="D498" s="104"/>
      <c r="E498" s="104"/>
      <c r="F498" s="104"/>
      <c r="G498" s="104"/>
      <c r="H498" s="104"/>
    </row>
    <row r="499" spans="2:8">
      <c r="B499" s="104"/>
      <c r="C499" s="104"/>
      <c r="D499" s="104"/>
      <c r="E499" s="104"/>
      <c r="F499" s="104"/>
      <c r="G499" s="104"/>
      <c r="H499" s="104"/>
    </row>
    <row r="500" spans="2:8">
      <c r="B500" s="104"/>
      <c r="C500" s="104"/>
      <c r="D500" s="104"/>
      <c r="E500" s="104"/>
      <c r="F500" s="104"/>
      <c r="G500" s="104"/>
      <c r="H500" s="104"/>
    </row>
    <row r="501" spans="2:8">
      <c r="B501" s="104"/>
      <c r="C501" s="104"/>
      <c r="D501" s="104"/>
      <c r="E501" s="104"/>
      <c r="F501" s="104"/>
      <c r="G501" s="104"/>
      <c r="H501" s="104"/>
    </row>
    <row r="502" spans="2:8">
      <c r="B502" s="104"/>
      <c r="C502" s="104"/>
      <c r="D502" s="104"/>
      <c r="E502" s="104"/>
      <c r="F502" s="104"/>
      <c r="G502" s="104"/>
      <c r="H502" s="104"/>
    </row>
    <row r="503" spans="2:8">
      <c r="B503" s="104"/>
      <c r="C503" s="104"/>
      <c r="D503" s="104"/>
      <c r="E503" s="104"/>
      <c r="F503" s="104"/>
      <c r="G503" s="104"/>
      <c r="H503" s="104"/>
    </row>
    <row r="504" spans="2:8">
      <c r="B504" s="104"/>
      <c r="C504" s="104"/>
      <c r="D504" s="104"/>
      <c r="E504" s="104"/>
      <c r="F504" s="104"/>
      <c r="G504" s="104"/>
      <c r="H504" s="104"/>
    </row>
    <row r="505" spans="2:8">
      <c r="B505" s="104"/>
      <c r="C505" s="104"/>
      <c r="D505" s="104"/>
      <c r="E505" s="104"/>
      <c r="F505" s="104"/>
      <c r="G505" s="104"/>
      <c r="H505" s="104"/>
    </row>
    <row r="506" spans="2:8">
      <c r="B506" s="104"/>
      <c r="C506" s="104"/>
      <c r="D506" s="104"/>
      <c r="E506" s="104"/>
      <c r="F506" s="104"/>
      <c r="G506" s="104"/>
      <c r="H506" s="104"/>
    </row>
    <row r="507" spans="2:8">
      <c r="B507" s="104"/>
      <c r="C507" s="104"/>
      <c r="D507" s="104"/>
      <c r="E507" s="104"/>
      <c r="F507" s="104"/>
      <c r="G507" s="104"/>
      <c r="H507" s="104"/>
    </row>
    <row r="508" spans="2:8">
      <c r="B508" s="104"/>
      <c r="C508" s="104"/>
      <c r="D508" s="104"/>
      <c r="E508" s="104"/>
      <c r="F508" s="104"/>
      <c r="G508" s="104"/>
      <c r="H508" s="104"/>
    </row>
    <row r="509" spans="2:8">
      <c r="B509" s="104"/>
      <c r="C509" s="104"/>
      <c r="D509" s="104"/>
      <c r="E509" s="104"/>
      <c r="F509" s="104"/>
      <c r="G509" s="104"/>
      <c r="H509" s="104"/>
    </row>
    <row r="510" spans="2:8">
      <c r="B510" s="104"/>
      <c r="C510" s="104"/>
      <c r="D510" s="104"/>
      <c r="E510" s="104"/>
      <c r="F510" s="104"/>
      <c r="G510" s="104"/>
      <c r="H510" s="104"/>
    </row>
  </sheetData>
  <mergeCells count="6">
    <mergeCell ref="D1:H3"/>
    <mergeCell ref="A4:C4"/>
    <mergeCell ref="D4:H4"/>
    <mergeCell ref="A5:C5"/>
    <mergeCell ref="D5:G5"/>
    <mergeCell ref="H5:H6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2" orientation="portrait" r:id="rId1"/>
  <headerFooter>
    <oddFooter>&amp;L&amp;"Calibri,Regular"&amp;12&amp;K184782&amp;F&amp;C&amp;"Calibri,Regular"&amp;12&amp;K184782&amp;A&amp;R&amp;"Calibri,Regular"&amp;12&amp;K184782&amp;P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1">
    <pageSetUpPr fitToPage="1"/>
  </sheetPr>
  <dimension ref="A1:J507"/>
  <sheetViews>
    <sheetView showGridLines="0" workbookViewId="0">
      <pane ySplit="2415" topLeftCell="A199" activePane="bottomLeft"/>
      <selection activeCell="A173" sqref="A173"/>
      <selection pane="bottomLeft" activeCell="H212" sqref="H212"/>
    </sheetView>
  </sheetViews>
  <sheetFormatPr defaultRowHeight="12.75"/>
  <cols>
    <col min="1" max="1" width="14.140625" style="67" customWidth="1"/>
    <col min="2" max="2" width="13.5703125" style="67" customWidth="1"/>
    <col min="3" max="3" width="10.140625" style="67" customWidth="1"/>
    <col min="4" max="4" width="9.140625" style="67" customWidth="1"/>
    <col min="5" max="5" width="9.140625" style="67"/>
    <col min="6" max="6" width="13.5703125" style="67" bestFit="1" customWidth="1"/>
    <col min="7" max="7" width="12.85546875" style="67" bestFit="1" customWidth="1"/>
    <col min="8" max="8" width="15.7109375" style="67" customWidth="1"/>
    <col min="9" max="16384" width="9.140625" style="67"/>
  </cols>
  <sheetData>
    <row r="1" spans="1:8" ht="16.5" customHeight="1">
      <c r="B1" s="101"/>
      <c r="C1" s="101"/>
      <c r="D1" s="294" t="s">
        <v>251</v>
      </c>
      <c r="E1" s="294"/>
      <c r="F1" s="294"/>
      <c r="G1" s="294"/>
      <c r="H1" s="294"/>
    </row>
    <row r="2" spans="1:8" ht="17.25" customHeight="1">
      <c r="A2" s="101"/>
      <c r="B2" s="101"/>
      <c r="C2" s="101"/>
      <c r="D2" s="294"/>
      <c r="E2" s="294"/>
      <c r="F2" s="294"/>
      <c r="G2" s="294"/>
      <c r="H2" s="294"/>
    </row>
    <row r="3" spans="1:8" ht="21" customHeight="1" thickBot="1">
      <c r="A3" s="101"/>
      <c r="B3" s="101"/>
      <c r="C3" s="101"/>
      <c r="D3" s="306"/>
      <c r="E3" s="306"/>
      <c r="F3" s="306"/>
      <c r="G3" s="306"/>
      <c r="H3" s="306"/>
    </row>
    <row r="4" spans="1:8" s="62" customFormat="1" ht="19.5" thickBot="1">
      <c r="A4" s="307" t="s">
        <v>71</v>
      </c>
      <c r="B4" s="308"/>
      <c r="C4" s="309"/>
      <c r="D4" s="310" t="s">
        <v>61</v>
      </c>
      <c r="E4" s="311"/>
      <c r="F4" s="311"/>
      <c r="G4" s="311" t="s">
        <v>6</v>
      </c>
      <c r="H4" s="312"/>
    </row>
    <row r="5" spans="1:8" s="62" customFormat="1" ht="18" customHeight="1" thickBot="1">
      <c r="A5" s="313" t="s">
        <v>56</v>
      </c>
      <c r="B5" s="314"/>
      <c r="C5" s="315"/>
      <c r="D5" s="298" t="s">
        <v>57</v>
      </c>
      <c r="E5" s="299"/>
      <c r="F5" s="299"/>
      <c r="G5" s="300"/>
      <c r="H5" s="316" t="s">
        <v>58</v>
      </c>
    </row>
    <row r="6" spans="1:8" s="62" customFormat="1" ht="15.75" customHeight="1" thickBot="1">
      <c r="A6" s="126" t="s">
        <v>109</v>
      </c>
      <c r="B6" s="127" t="s">
        <v>111</v>
      </c>
      <c r="C6" s="127" t="s">
        <v>4</v>
      </c>
      <c r="D6" s="127" t="s">
        <v>14</v>
      </c>
      <c r="E6" s="127" t="s">
        <v>15</v>
      </c>
      <c r="F6" s="127" t="s">
        <v>16</v>
      </c>
      <c r="G6" s="127" t="s">
        <v>17</v>
      </c>
      <c r="H6" s="317"/>
    </row>
    <row r="7" spans="1:8" s="102" customFormat="1" ht="16.5" customHeight="1" thickBot="1">
      <c r="A7" s="140" t="s">
        <v>67</v>
      </c>
      <c r="B7" s="141"/>
      <c r="C7" s="141"/>
      <c r="D7" s="141"/>
      <c r="E7" s="141"/>
      <c r="F7" s="141"/>
      <c r="G7" s="141"/>
      <c r="H7" s="142"/>
    </row>
    <row r="8" spans="1:8" ht="15" hidden="1">
      <c r="A8" s="228" t="s">
        <v>113</v>
      </c>
      <c r="B8" s="229">
        <v>1051.56</v>
      </c>
      <c r="C8" s="204">
        <f>100*B8/B$8</f>
        <v>100</v>
      </c>
      <c r="D8" s="204"/>
      <c r="E8" s="204"/>
      <c r="F8" s="204"/>
      <c r="G8" s="205"/>
      <c r="H8" s="206">
        <f>+B$211/B8</f>
        <v>1.356794524325764</v>
      </c>
    </row>
    <row r="9" spans="1:8" ht="15" hidden="1">
      <c r="A9" s="230" t="s">
        <v>114</v>
      </c>
      <c r="B9" s="231">
        <v>1043.2</v>
      </c>
      <c r="C9" s="207">
        <f t="shared" ref="C9:C106" si="0">100*B9/B$8</f>
        <v>99.204990680512765</v>
      </c>
      <c r="D9" s="207">
        <f t="shared" ref="D9:D26" si="1">100*(B9/B8-1)</f>
        <v>-0.79500931948722764</v>
      </c>
      <c r="E9" s="207"/>
      <c r="F9" s="207"/>
      <c r="G9" s="208"/>
      <c r="H9" s="209">
        <f>+B$211/B9</f>
        <v>1.3676676092791413</v>
      </c>
    </row>
    <row r="10" spans="1:8" ht="15" hidden="1">
      <c r="A10" s="230" t="s">
        <v>115</v>
      </c>
      <c r="B10" s="231">
        <v>1001.5</v>
      </c>
      <c r="C10" s="207">
        <f t="shared" si="0"/>
        <v>95.239453763931692</v>
      </c>
      <c r="D10" s="207">
        <f t="shared" si="1"/>
        <v>-3.9973159509202549</v>
      </c>
      <c r="E10" s="207"/>
      <c r="F10" s="207"/>
      <c r="G10" s="208"/>
      <c r="H10" s="209">
        <f>+B$211/B10</f>
        <v>1.4246139291063409</v>
      </c>
    </row>
    <row r="11" spans="1:8" ht="15" hidden="1">
      <c r="A11" s="230" t="s">
        <v>116</v>
      </c>
      <c r="B11" s="231">
        <v>990.25</v>
      </c>
      <c r="C11" s="207">
        <f t="shared" si="0"/>
        <v>94.16961466773175</v>
      </c>
      <c r="D11" s="207">
        <f t="shared" si="1"/>
        <v>-1.1233150274588155</v>
      </c>
      <c r="E11" s="207">
        <f t="shared" ref="E11:E16" si="2">100*(B11/B$10-1)</f>
        <v>-1.1233150274588155</v>
      </c>
      <c r="F11" s="207"/>
      <c r="G11" s="208"/>
      <c r="H11" s="209">
        <f>+B$211/B11</f>
        <v>1.4407986367079024</v>
      </c>
    </row>
    <row r="12" spans="1:8" ht="15" hidden="1">
      <c r="A12" s="230" t="s">
        <v>117</v>
      </c>
      <c r="B12" s="231">
        <v>1067.5</v>
      </c>
      <c r="C12" s="207">
        <f t="shared" si="0"/>
        <v>101.51584312830462</v>
      </c>
      <c r="D12" s="207">
        <f t="shared" si="1"/>
        <v>7.8010603382984156</v>
      </c>
      <c r="E12" s="207">
        <f t="shared" si="2"/>
        <v>6.5901148277583532</v>
      </c>
      <c r="F12" s="207"/>
      <c r="G12" s="208"/>
      <c r="H12" s="209">
        <f>+B$211/B12</f>
        <v>1.336534754098361</v>
      </c>
    </row>
    <row r="13" spans="1:8" ht="15" hidden="1">
      <c r="A13" s="230" t="s">
        <v>118</v>
      </c>
      <c r="B13" s="231">
        <v>1058.2</v>
      </c>
      <c r="C13" s="207">
        <f t="shared" si="0"/>
        <v>100.63144280877934</v>
      </c>
      <c r="D13" s="207">
        <f t="shared" si="1"/>
        <v>-0.87119437939109368</v>
      </c>
      <c r="E13" s="207">
        <f t="shared" si="2"/>
        <v>5.6615077383924239</v>
      </c>
      <c r="F13" s="207"/>
      <c r="G13" s="208"/>
      <c r="H13" s="209">
        <f>+B$211/B13</f>
        <v>1.3482809015309019</v>
      </c>
    </row>
    <row r="14" spans="1:8" ht="15" hidden="1">
      <c r="A14" s="230" t="s">
        <v>119</v>
      </c>
      <c r="B14" s="231">
        <v>1128.5999999999999</v>
      </c>
      <c r="C14" s="207">
        <f t="shared" si="0"/>
        <v>107.32625813077712</v>
      </c>
      <c r="D14" s="207">
        <f t="shared" si="1"/>
        <v>6.652806652806631</v>
      </c>
      <c r="E14" s="207">
        <f t="shared" si="2"/>
        <v>12.690963554667988</v>
      </c>
      <c r="F14" s="210"/>
      <c r="G14" s="211"/>
      <c r="H14" s="209">
        <f>+B$211/B14</f>
        <v>1.2641776094276098</v>
      </c>
    </row>
    <row r="15" spans="1:8" ht="15" hidden="1">
      <c r="A15" s="230" t="s">
        <v>120</v>
      </c>
      <c r="B15" s="231">
        <v>1111.4000000000001</v>
      </c>
      <c r="C15" s="207">
        <f t="shared" si="0"/>
        <v>105.69059302369814</v>
      </c>
      <c r="D15" s="207">
        <f t="shared" si="1"/>
        <v>-1.5240120503278276</v>
      </c>
      <c r="E15" s="207">
        <f t="shared" si="2"/>
        <v>10.973539690464307</v>
      </c>
      <c r="F15" s="210"/>
      <c r="G15" s="211"/>
      <c r="H15" s="209">
        <f>+B$211/B15</f>
        <v>1.283741992082059</v>
      </c>
    </row>
    <row r="16" spans="1:8" ht="15" hidden="1">
      <c r="A16" s="230" t="s">
        <v>121</v>
      </c>
      <c r="B16" s="231">
        <v>1175</v>
      </c>
      <c r="C16" s="207">
        <f t="shared" si="0"/>
        <v>111.73875004754841</v>
      </c>
      <c r="D16" s="207">
        <f t="shared" si="1"/>
        <v>5.7225121468418072</v>
      </c>
      <c r="E16" s="207">
        <f t="shared" si="2"/>
        <v>17.324013979031449</v>
      </c>
      <c r="F16" s="210"/>
      <c r="G16" s="211"/>
      <c r="H16" s="209">
        <f>+B$211/B16</f>
        <v>1.2142560425531919</v>
      </c>
    </row>
    <row r="17" spans="1:8" ht="15" hidden="1">
      <c r="A17" s="230" t="s">
        <v>122</v>
      </c>
      <c r="B17" s="231">
        <v>1167.4000000000001</v>
      </c>
      <c r="C17" s="207">
        <f t="shared" si="0"/>
        <v>111.01601430256002</v>
      </c>
      <c r="D17" s="207">
        <f t="shared" si="1"/>
        <v>-0.64680851063828593</v>
      </c>
      <c r="E17" s="207">
        <f t="shared" ref="E17:E22" si="3">100*(B17/B$10-1)</f>
        <v>16.565152271592609</v>
      </c>
      <c r="F17" s="210"/>
      <c r="G17" s="211"/>
      <c r="H17" s="209">
        <f>+B$211/B17</f>
        <v>1.2221610844611961</v>
      </c>
    </row>
    <row r="18" spans="1:8" ht="15" hidden="1">
      <c r="A18" s="230" t="s">
        <v>123</v>
      </c>
      <c r="B18" s="231">
        <v>1150.5999999999999</v>
      </c>
      <c r="C18" s="207">
        <f t="shared" si="0"/>
        <v>109.41838791890143</v>
      </c>
      <c r="D18" s="207">
        <f t="shared" si="1"/>
        <v>-1.4390954257324173</v>
      </c>
      <c r="E18" s="207">
        <f t="shared" si="3"/>
        <v>14.887668497254115</v>
      </c>
      <c r="F18" s="210"/>
      <c r="G18" s="211"/>
      <c r="H18" s="209">
        <f>+B$211/B18</f>
        <v>1.2400059534156096</v>
      </c>
    </row>
    <row r="19" spans="1:8" ht="15" hidden="1">
      <c r="A19" s="230" t="s">
        <v>124</v>
      </c>
      <c r="B19" s="231">
        <v>1179.5999999999999</v>
      </c>
      <c r="C19" s="207">
        <f t="shared" si="0"/>
        <v>112.17619536688348</v>
      </c>
      <c r="D19" s="207">
        <f t="shared" si="1"/>
        <v>2.5204241265426752</v>
      </c>
      <c r="E19" s="207">
        <f t="shared" si="3"/>
        <v>17.783325012481278</v>
      </c>
      <c r="F19" s="210"/>
      <c r="G19" s="211"/>
      <c r="H19" s="209">
        <f>+B$211/B19</f>
        <v>1.2095208969142086</v>
      </c>
    </row>
    <row r="20" spans="1:8" ht="15" hidden="1">
      <c r="A20" s="230" t="s">
        <v>125</v>
      </c>
      <c r="B20" s="231">
        <v>1218</v>
      </c>
      <c r="C20" s="207">
        <f t="shared" si="0"/>
        <v>115.82791281524592</v>
      </c>
      <c r="D20" s="207">
        <f t="shared" si="1"/>
        <v>3.2553407934893253</v>
      </c>
      <c r="E20" s="207">
        <f t="shared" si="3"/>
        <v>21.617573639540687</v>
      </c>
      <c r="F20" s="210">
        <f>(100*(B20/B8-1))</f>
        <v>15.827912815245938</v>
      </c>
      <c r="G20" s="211"/>
      <c r="H20" s="209">
        <f>+B$211/B20</f>
        <v>1.1713882183908049</v>
      </c>
    </row>
    <row r="21" spans="1:8" ht="15" hidden="1">
      <c r="A21" s="230" t="s">
        <v>126</v>
      </c>
      <c r="B21" s="231">
        <v>1242.78</v>
      </c>
      <c r="C21" s="207">
        <f t="shared" si="0"/>
        <v>118.1844117311423</v>
      </c>
      <c r="D21" s="207">
        <f t="shared" si="1"/>
        <v>2.0344827586206815</v>
      </c>
      <c r="E21" s="207">
        <f t="shared" si="3"/>
        <v>24.091862206689953</v>
      </c>
      <c r="F21" s="210">
        <f t="shared" ref="F21:F32" si="4">(100*(B21/B9-1))</f>
        <v>19.131518404907965</v>
      </c>
      <c r="G21" s="211"/>
      <c r="H21" s="209">
        <f>+B$211/B21</f>
        <v>1.1480317111636817</v>
      </c>
    </row>
    <row r="22" spans="1:8" ht="15" hidden="1">
      <c r="A22" s="230" t="s">
        <v>127</v>
      </c>
      <c r="B22" s="231">
        <v>1218</v>
      </c>
      <c r="C22" s="207">
        <f t="shared" si="0"/>
        <v>115.82791281524592</v>
      </c>
      <c r="D22" s="207">
        <f t="shared" si="1"/>
        <v>-1.9939168638053339</v>
      </c>
      <c r="E22" s="207">
        <f t="shared" si="3"/>
        <v>21.617573639540687</v>
      </c>
      <c r="F22" s="210">
        <f t="shared" si="4"/>
        <v>21.617573639540687</v>
      </c>
      <c r="G22" s="211"/>
      <c r="H22" s="209">
        <f>+B$211/B22</f>
        <v>1.1713882183908049</v>
      </c>
    </row>
    <row r="23" spans="1:8" ht="15" hidden="1">
      <c r="A23" s="230" t="s">
        <v>128</v>
      </c>
      <c r="B23" s="231">
        <v>1259.7</v>
      </c>
      <c r="C23" s="207">
        <f t="shared" si="0"/>
        <v>119.79344973182701</v>
      </c>
      <c r="D23" s="207">
        <f t="shared" si="1"/>
        <v>3.4236453201970551</v>
      </c>
      <c r="E23" s="207">
        <f t="shared" ref="E23:E29" si="5">100*(B23/B$22-1)</f>
        <v>3.4236453201970551</v>
      </c>
      <c r="F23" s="210">
        <f t="shared" si="4"/>
        <v>27.210300429184553</v>
      </c>
      <c r="G23" s="211"/>
      <c r="H23" s="209">
        <f>+B$211/B23</f>
        <v>1.13261161387632</v>
      </c>
    </row>
    <row r="24" spans="1:8" ht="15" hidden="1">
      <c r="A24" s="230" t="s">
        <v>129</v>
      </c>
      <c r="B24" s="231">
        <v>1313.38</v>
      </c>
      <c r="C24" s="207">
        <f t="shared" si="0"/>
        <v>124.89824641485032</v>
      </c>
      <c r="D24" s="207">
        <f t="shared" si="1"/>
        <v>4.2613320631896601</v>
      </c>
      <c r="E24" s="207">
        <f t="shared" si="5"/>
        <v>7.8308702791461515</v>
      </c>
      <c r="F24" s="210">
        <f t="shared" si="4"/>
        <v>23.033255269320851</v>
      </c>
      <c r="G24" s="211"/>
      <c r="H24" s="209">
        <f>+B$211/B24</f>
        <v>1.0863199150284002</v>
      </c>
    </row>
    <row r="25" spans="1:8" ht="15" hidden="1">
      <c r="A25" s="230" t="s">
        <v>130</v>
      </c>
      <c r="B25" s="231">
        <v>1290.22</v>
      </c>
      <c r="C25" s="207">
        <f t="shared" si="0"/>
        <v>122.69580432880673</v>
      </c>
      <c r="D25" s="207">
        <f t="shared" si="1"/>
        <v>-1.7633891181531691</v>
      </c>
      <c r="E25" s="207">
        <f t="shared" si="5"/>
        <v>5.9293924466338188</v>
      </c>
      <c r="F25" s="210">
        <f t="shared" si="4"/>
        <v>21.925911925911933</v>
      </c>
      <c r="G25" s="211"/>
      <c r="H25" s="209">
        <f>+B$211/B25</f>
        <v>1.1058198214258037</v>
      </c>
    </row>
    <row r="26" spans="1:8" ht="15" hidden="1">
      <c r="A26" s="230" t="s">
        <v>131</v>
      </c>
      <c r="B26" s="231">
        <v>1276.25</v>
      </c>
      <c r="C26" s="207">
        <f t="shared" si="0"/>
        <v>121.36730191334779</v>
      </c>
      <c r="D26" s="207">
        <f t="shared" si="1"/>
        <v>-1.0827610795058229</v>
      </c>
      <c r="E26" s="207">
        <f t="shared" si="5"/>
        <v>4.7824302134646945</v>
      </c>
      <c r="F26" s="210">
        <f t="shared" si="4"/>
        <v>13.082580187843362</v>
      </c>
      <c r="G26" s="211"/>
      <c r="H26" s="209">
        <f>+B$211/B26</f>
        <v>1.1179242703232128</v>
      </c>
    </row>
    <row r="27" spans="1:8" ht="15" hidden="1">
      <c r="A27" s="230" t="s">
        <v>132</v>
      </c>
      <c r="B27" s="231">
        <v>1272.6300000000001</v>
      </c>
      <c r="C27" s="207">
        <f t="shared" si="0"/>
        <v>121.02305146639281</v>
      </c>
      <c r="D27" s="207">
        <f t="shared" ref="D27:D32" si="6">100*(B27/B26-1)</f>
        <v>-0.28364348677766271</v>
      </c>
      <c r="E27" s="207">
        <f t="shared" si="5"/>
        <v>4.4852216748768603</v>
      </c>
      <c r="F27" s="210">
        <f t="shared" si="4"/>
        <v>14.506928198668344</v>
      </c>
      <c r="G27" s="211"/>
      <c r="H27" s="209">
        <f>+B$211/B27</f>
        <v>1.1211042093931467</v>
      </c>
    </row>
    <row r="28" spans="1:8" ht="15" hidden="1">
      <c r="A28" s="230" t="s">
        <v>133</v>
      </c>
      <c r="B28" s="231">
        <v>1274.1300000000001</v>
      </c>
      <c r="C28" s="207">
        <f t="shared" si="0"/>
        <v>121.16569667921947</v>
      </c>
      <c r="D28" s="207">
        <f t="shared" si="6"/>
        <v>0.11786615119870891</v>
      </c>
      <c r="E28" s="207">
        <f t="shared" si="5"/>
        <v>4.6083743842364688</v>
      </c>
      <c r="F28" s="210">
        <f t="shared" si="4"/>
        <v>8.4365957446808526</v>
      </c>
      <c r="G28" s="211"/>
      <c r="H28" s="209">
        <f>+B$211/B28</f>
        <v>1.1197843626631507</v>
      </c>
    </row>
    <row r="29" spans="1:8" ht="15" hidden="1">
      <c r="A29" s="230" t="s">
        <v>134</v>
      </c>
      <c r="B29" s="231">
        <v>1310.57</v>
      </c>
      <c r="C29" s="207">
        <f t="shared" si="0"/>
        <v>124.63102438282172</v>
      </c>
      <c r="D29" s="207">
        <f t="shared" si="6"/>
        <v>2.8599907387786061</v>
      </c>
      <c r="E29" s="207">
        <f t="shared" si="5"/>
        <v>7.6001642036124695</v>
      </c>
      <c r="F29" s="210">
        <f t="shared" si="4"/>
        <v>12.264005482268271</v>
      </c>
      <c r="G29" s="211"/>
      <c r="H29" s="209">
        <f>+B$211/B29</f>
        <v>1.0886490992468929</v>
      </c>
    </row>
    <row r="30" spans="1:8" ht="15" hidden="1">
      <c r="A30" s="230" t="s">
        <v>135</v>
      </c>
      <c r="B30" s="231">
        <v>1151.69</v>
      </c>
      <c r="C30" s="207">
        <f t="shared" si="0"/>
        <v>109.52204344022215</v>
      </c>
      <c r="D30" s="207">
        <f t="shared" si="6"/>
        <v>-12.122969394996064</v>
      </c>
      <c r="E30" s="207">
        <f>100*(B30/B$22-1)</f>
        <v>-5.4441707717569727</v>
      </c>
      <c r="F30" s="210">
        <f t="shared" si="4"/>
        <v>9.4733182687312123E-2</v>
      </c>
      <c r="G30" s="211"/>
      <c r="H30" s="209">
        <f>+B$211/B30</f>
        <v>1.2388323680851621</v>
      </c>
    </row>
    <row r="31" spans="1:8" ht="15" hidden="1">
      <c r="A31" s="230" t="s">
        <v>136</v>
      </c>
      <c r="B31" s="231">
        <v>1175.93</v>
      </c>
      <c r="C31" s="207">
        <f t="shared" si="0"/>
        <v>111.82719007950094</v>
      </c>
      <c r="D31" s="207">
        <f t="shared" si="6"/>
        <v>2.1047330444824652</v>
      </c>
      <c r="E31" s="207">
        <f>100*(B31/B$22-1)</f>
        <v>-3.454022988505745</v>
      </c>
      <c r="F31" s="210">
        <f t="shared" si="4"/>
        <v>-0.31112241437774024</v>
      </c>
      <c r="G31" s="211"/>
      <c r="H31" s="209">
        <f>+B$211/B31</f>
        <v>1.2132957318888031</v>
      </c>
    </row>
    <row r="32" spans="1:8" ht="15" hidden="1">
      <c r="A32" s="230" t="s">
        <v>137</v>
      </c>
      <c r="B32" s="231">
        <v>1253.1099999999999</v>
      </c>
      <c r="C32" s="207">
        <f t="shared" si="0"/>
        <v>119.16676176347521</v>
      </c>
      <c r="D32" s="207">
        <f t="shared" si="6"/>
        <v>6.5633158436301242</v>
      </c>
      <c r="E32" s="207">
        <f>100*(B32/B$22-1)</f>
        <v>2.8825944170771667</v>
      </c>
      <c r="F32" s="210">
        <f t="shared" si="4"/>
        <v>2.8825944170771667</v>
      </c>
      <c r="G32" s="211">
        <f t="shared" ref="G32:G37" si="7">100*(B32/B8-1)</f>
        <v>19.166761763475204</v>
      </c>
      <c r="H32" s="209">
        <f>+B$211/B32</f>
        <v>1.1385679230075576</v>
      </c>
    </row>
    <row r="33" spans="1:8" ht="15" hidden="1">
      <c r="A33" s="230" t="s">
        <v>138</v>
      </c>
      <c r="B33" s="231">
        <v>1195.9000000000001</v>
      </c>
      <c r="C33" s="207">
        <f t="shared" si="0"/>
        <v>113.72627334626652</v>
      </c>
      <c r="D33" s="207">
        <f t="shared" ref="D33:D38" si="8">100*(B33/B32-1)</f>
        <v>-4.5654411823383256</v>
      </c>
      <c r="E33" s="207">
        <f>100*(B33/B$22-1)</f>
        <v>-1.8144499178981865</v>
      </c>
      <c r="F33" s="210">
        <f t="shared" ref="F33:F38" si="9">(100*(B33/B21-1))</f>
        <v>-3.7721881588052453</v>
      </c>
      <c r="G33" s="211">
        <f t="shared" si="7"/>
        <v>14.637653374233128</v>
      </c>
      <c r="H33" s="209">
        <f>+B$211/B33</f>
        <v>1.1930352454218582</v>
      </c>
    </row>
    <row r="34" spans="1:8" ht="15" hidden="1">
      <c r="A34" s="230" t="s">
        <v>139</v>
      </c>
      <c r="B34" s="231">
        <v>1217.9000000000001</v>
      </c>
      <c r="C34" s="207">
        <f t="shared" si="0"/>
        <v>115.81840313439083</v>
      </c>
      <c r="D34" s="207">
        <f t="shared" si="8"/>
        <v>1.8396186972154949</v>
      </c>
      <c r="E34" s="207">
        <f>100*(B34/B$22-1)</f>
        <v>-8.2101806239687214E-3</v>
      </c>
      <c r="F34" s="210">
        <f t="shared" si="9"/>
        <v>-8.2101806239687214E-3</v>
      </c>
      <c r="G34" s="211">
        <f t="shared" si="7"/>
        <v>21.607588617074391</v>
      </c>
      <c r="H34" s="209">
        <f>+B$211/B34</f>
        <v>1.1714843993759751</v>
      </c>
    </row>
    <row r="35" spans="1:8" ht="15" hidden="1">
      <c r="A35" s="230" t="s">
        <v>140</v>
      </c>
      <c r="B35" s="231">
        <v>1228.17</v>
      </c>
      <c r="C35" s="207">
        <f t="shared" si="0"/>
        <v>116.79504735821067</v>
      </c>
      <c r="D35" s="207">
        <f t="shared" si="8"/>
        <v>0.84325478282289978</v>
      </c>
      <c r="E35" s="207">
        <f t="shared" ref="E35:E40" si="10">100*(B35/B$34-1)</f>
        <v>0.84325478282289978</v>
      </c>
      <c r="F35" s="210">
        <f t="shared" si="9"/>
        <v>-2.5029768992617218</v>
      </c>
      <c r="G35" s="211">
        <f t="shared" si="7"/>
        <v>24.026255995960621</v>
      </c>
      <c r="H35" s="209">
        <f>+B$211/B35</f>
        <v>1.1616884063281143</v>
      </c>
    </row>
    <row r="36" spans="1:8" ht="15" hidden="1">
      <c r="A36" s="230" t="s">
        <v>141</v>
      </c>
      <c r="B36" s="231">
        <v>1199.29</v>
      </c>
      <c r="C36" s="207">
        <f t="shared" si="0"/>
        <v>114.04865152725475</v>
      </c>
      <c r="D36" s="207">
        <f t="shared" si="8"/>
        <v>-2.3514660022635359</v>
      </c>
      <c r="E36" s="207">
        <f t="shared" si="10"/>
        <v>-1.5280400689711926</v>
      </c>
      <c r="F36" s="210">
        <f t="shared" si="9"/>
        <v>-8.6867471714203166</v>
      </c>
      <c r="G36" s="211">
        <f t="shared" si="7"/>
        <v>12.345667447306784</v>
      </c>
      <c r="H36" s="209">
        <f>+B$211/B36</f>
        <v>1.1896629255642925</v>
      </c>
    </row>
    <row r="37" spans="1:8" ht="15" hidden="1">
      <c r="A37" s="230" t="s">
        <v>142</v>
      </c>
      <c r="B37" s="231">
        <v>1233.1300000000001</v>
      </c>
      <c r="C37" s="207">
        <f t="shared" si="0"/>
        <v>117.26672752862416</v>
      </c>
      <c r="D37" s="207">
        <f t="shared" si="8"/>
        <v>2.8216694877802873</v>
      </c>
      <c r="E37" s="207">
        <f t="shared" si="10"/>
        <v>1.2505131784218859</v>
      </c>
      <c r="F37" s="210">
        <f t="shared" si="9"/>
        <v>-4.4248267737285074</v>
      </c>
      <c r="G37" s="211">
        <f t="shared" si="7"/>
        <v>16.530901530901531</v>
      </c>
      <c r="H37" s="209">
        <f>+B$211/B37</f>
        <v>1.1570157647612176</v>
      </c>
    </row>
    <row r="38" spans="1:8" ht="15" hidden="1">
      <c r="A38" s="230" t="s">
        <v>143</v>
      </c>
      <c r="B38" s="231">
        <v>1225.29</v>
      </c>
      <c r="C38" s="207">
        <f t="shared" si="0"/>
        <v>116.52116854958348</v>
      </c>
      <c r="D38" s="207">
        <f t="shared" si="8"/>
        <v>-0.63578049354083843</v>
      </c>
      <c r="E38" s="207">
        <f t="shared" si="10"/>
        <v>0.60678216602347845</v>
      </c>
      <c r="F38" s="210">
        <f t="shared" si="9"/>
        <v>-3.9929480901077397</v>
      </c>
      <c r="G38" s="211">
        <f t="shared" ref="G38:G43" si="11">100*(B38/B14-1)</f>
        <v>8.5672514619883131</v>
      </c>
      <c r="H38" s="209">
        <f>+B$211/B38</f>
        <v>1.16441891307364</v>
      </c>
    </row>
    <row r="39" spans="1:8" ht="15" hidden="1">
      <c r="A39" s="230" t="s">
        <v>144</v>
      </c>
      <c r="B39" s="231">
        <v>1103.4000000000001</v>
      </c>
      <c r="C39" s="207">
        <f t="shared" si="0"/>
        <v>104.9298185552893</v>
      </c>
      <c r="D39" s="207">
        <f t="shared" ref="D39:D44" si="12">100*(B39/B38-1)</f>
        <v>-9.9478490806258044</v>
      </c>
      <c r="E39" s="207">
        <f t="shared" si="10"/>
        <v>-9.4014286887264991</v>
      </c>
      <c r="F39" s="210">
        <f t="shared" ref="F39:F44" si="13">(100*(B39/B27-1))</f>
        <v>-13.297659178237197</v>
      </c>
      <c r="G39" s="211">
        <f t="shared" si="11"/>
        <v>-0.71981284865935136</v>
      </c>
      <c r="H39" s="209">
        <f>+B$211/B39</f>
        <v>1.2930495287293822</v>
      </c>
    </row>
    <row r="40" spans="1:8" ht="15" hidden="1">
      <c r="A40" s="230" t="s">
        <v>145</v>
      </c>
      <c r="B40" s="231">
        <v>1273.0999999999999</v>
      </c>
      <c r="C40" s="207">
        <f t="shared" si="0"/>
        <v>121.0677469664118</v>
      </c>
      <c r="D40" s="207">
        <f t="shared" si="12"/>
        <v>15.379735363422142</v>
      </c>
      <c r="E40" s="207">
        <f t="shared" si="10"/>
        <v>4.5323918219886572</v>
      </c>
      <c r="F40" s="210">
        <f t="shared" si="13"/>
        <v>-8.0839474778882092E-2</v>
      </c>
      <c r="G40" s="211">
        <f t="shared" si="11"/>
        <v>8.3489361702127507</v>
      </c>
      <c r="H40" s="209">
        <f>+B$211/B40</f>
        <v>1.1206903228340275</v>
      </c>
    </row>
    <row r="41" spans="1:8" ht="15" hidden="1">
      <c r="A41" s="230" t="s">
        <v>146</v>
      </c>
      <c r="B41" s="231">
        <v>1201.75</v>
      </c>
      <c r="C41" s="207">
        <f t="shared" si="0"/>
        <v>114.28258967629047</v>
      </c>
      <c r="D41" s="207">
        <f t="shared" si="12"/>
        <v>-5.6044301311758637</v>
      </c>
      <c r="E41" s="207">
        <f t="shared" ref="E41:E46" si="14">100*(B41/B$34-1)</f>
        <v>-1.3260530421216887</v>
      </c>
      <c r="F41" s="210">
        <f t="shared" si="13"/>
        <v>-8.3032573613008083</v>
      </c>
      <c r="G41" s="211">
        <f t="shared" si="11"/>
        <v>2.942436182970698</v>
      </c>
      <c r="H41" s="209">
        <f>+B$211/B41</f>
        <v>1.18722766798419</v>
      </c>
    </row>
    <row r="42" spans="1:8" ht="15" hidden="1">
      <c r="A42" s="230" t="s">
        <v>147</v>
      </c>
      <c r="B42" s="231">
        <v>1267.57</v>
      </c>
      <c r="C42" s="207">
        <f t="shared" si="0"/>
        <v>120.5418616151242</v>
      </c>
      <c r="D42" s="207">
        <f t="shared" si="12"/>
        <v>5.4770126898273208</v>
      </c>
      <c r="E42" s="207">
        <f t="shared" si="14"/>
        <v>4.0783315543147847</v>
      </c>
      <c r="F42" s="210">
        <f t="shared" si="13"/>
        <v>10.061735362814627</v>
      </c>
      <c r="G42" s="211">
        <f t="shared" si="11"/>
        <v>10.166000347644722</v>
      </c>
      <c r="H42" s="209">
        <f>+B$211/B42</f>
        <v>1.1255795340691248</v>
      </c>
    </row>
    <row r="43" spans="1:8" ht="15" hidden="1">
      <c r="A43" s="230" t="s">
        <v>148</v>
      </c>
      <c r="B43" s="231">
        <v>1216</v>
      </c>
      <c r="C43" s="207">
        <f t="shared" si="0"/>
        <v>115.63771919814371</v>
      </c>
      <c r="D43" s="207">
        <f t="shared" si="12"/>
        <v>-4.068414367648332</v>
      </c>
      <c r="E43" s="207">
        <f t="shared" si="14"/>
        <v>-0.15600624024961762</v>
      </c>
      <c r="F43" s="210">
        <f t="shared" si="13"/>
        <v>3.4075157534887213</v>
      </c>
      <c r="G43" s="211">
        <f t="shared" si="11"/>
        <v>3.0857917938284185</v>
      </c>
      <c r="H43" s="209">
        <f>+B$211/B43</f>
        <v>1.1733148437500003</v>
      </c>
    </row>
    <row r="44" spans="1:8" ht="15" hidden="1">
      <c r="A44" s="230" t="s">
        <v>149</v>
      </c>
      <c r="B44" s="231">
        <v>1141.67</v>
      </c>
      <c r="C44" s="207">
        <f t="shared" si="0"/>
        <v>108.56917341854007</v>
      </c>
      <c r="D44" s="207">
        <f t="shared" si="12"/>
        <v>-6.1126644736842035</v>
      </c>
      <c r="E44" s="207">
        <f t="shared" si="14"/>
        <v>-6.2591345759093535</v>
      </c>
      <c r="F44" s="210">
        <f t="shared" si="13"/>
        <v>-8.8930740318088457</v>
      </c>
      <c r="G44" s="211">
        <f t="shared" ref="G44:G49" si="15">100*(B44/B20-1)</f>
        <v>-6.2668308702791382</v>
      </c>
      <c r="H44" s="209">
        <f>+B$211/B44</f>
        <v>1.2497051249485405</v>
      </c>
    </row>
    <row r="45" spans="1:8" ht="15" hidden="1">
      <c r="A45" s="230" t="s">
        <v>150</v>
      </c>
      <c r="B45" s="231">
        <v>1165.5</v>
      </c>
      <c r="C45" s="207">
        <f t="shared" si="0"/>
        <v>110.83533036631292</v>
      </c>
      <c r="D45" s="212">
        <f t="shared" ref="D45:D50" si="16">100*(B45/B44-1)</f>
        <v>2.0872931757863311</v>
      </c>
      <c r="E45" s="212">
        <f t="shared" si="14"/>
        <v>-4.3024878889892477</v>
      </c>
      <c r="F45" s="213">
        <f t="shared" ref="F45:F50" si="17">(100*(B45/B33-1))</f>
        <v>-2.5420185634250414</v>
      </c>
      <c r="G45" s="211">
        <f t="shared" si="15"/>
        <v>-6.2183169989861398</v>
      </c>
      <c r="H45" s="209">
        <f>+B$211/B45</f>
        <v>1.2241534534534537</v>
      </c>
    </row>
    <row r="46" spans="1:8" ht="15" hidden="1">
      <c r="A46" s="230" t="s">
        <v>151</v>
      </c>
      <c r="B46" s="231">
        <v>1213.75</v>
      </c>
      <c r="C46" s="207">
        <f t="shared" si="0"/>
        <v>115.42375137890373</v>
      </c>
      <c r="D46" s="212">
        <f t="shared" si="16"/>
        <v>4.1398541398541377</v>
      </c>
      <c r="E46" s="212">
        <f t="shared" si="14"/>
        <v>-0.34075047212415166</v>
      </c>
      <c r="F46" s="213">
        <f t="shared" si="17"/>
        <v>-0.34075047212415166</v>
      </c>
      <c r="G46" s="211">
        <f t="shared" si="15"/>
        <v>-0.34893267651888715</v>
      </c>
      <c r="H46" s="209">
        <f>+B$211/B46</f>
        <v>1.1754898867147274</v>
      </c>
    </row>
    <row r="47" spans="1:8" ht="15" hidden="1">
      <c r="A47" s="230" t="s">
        <v>152</v>
      </c>
      <c r="B47" s="231">
        <v>1183.1400000000001</v>
      </c>
      <c r="C47" s="207">
        <f t="shared" si="0"/>
        <v>112.51283806915441</v>
      </c>
      <c r="D47" s="212">
        <f t="shared" si="16"/>
        <v>-2.5219361483007074</v>
      </c>
      <c r="E47" s="212">
        <f t="shared" ref="E47:E52" si="18">100*(B47/B$46-1)</f>
        <v>-2.5219361483007074</v>
      </c>
      <c r="F47" s="213">
        <f t="shared" si="17"/>
        <v>-3.6664305430030075</v>
      </c>
      <c r="G47" s="211">
        <f t="shared" si="15"/>
        <v>-6.0776375327458831</v>
      </c>
      <c r="H47" s="209">
        <f>+B$211/B47</f>
        <v>1.2059019642645843</v>
      </c>
    </row>
    <row r="48" spans="1:8" ht="15" hidden="1">
      <c r="A48" s="230" t="s">
        <v>153</v>
      </c>
      <c r="B48" s="231">
        <v>1191.57</v>
      </c>
      <c r="C48" s="207">
        <f t="shared" si="0"/>
        <v>113.31450416524022</v>
      </c>
      <c r="D48" s="212">
        <f t="shared" si="16"/>
        <v>0.71251077640852589</v>
      </c>
      <c r="E48" s="212">
        <f t="shared" si="18"/>
        <v>-1.8273944387229735</v>
      </c>
      <c r="F48" s="213">
        <f t="shared" si="17"/>
        <v>-0.64371419756689141</v>
      </c>
      <c r="G48" s="211">
        <f t="shared" si="15"/>
        <v>-9.2745435441380373</v>
      </c>
      <c r="H48" s="209">
        <f>+B$211/B48</f>
        <v>1.1973705699203576</v>
      </c>
    </row>
    <row r="49" spans="1:10" ht="15" hidden="1">
      <c r="A49" s="230" t="s">
        <v>154</v>
      </c>
      <c r="B49" s="238">
        <v>1169.3800000000001</v>
      </c>
      <c r="C49" s="239">
        <f t="shared" si="0"/>
        <v>111.20430598349121</v>
      </c>
      <c r="D49" s="240">
        <f t="shared" si="16"/>
        <v>-1.8622489656503483</v>
      </c>
      <c r="E49" s="240">
        <f t="shared" si="18"/>
        <v>-3.6556127703398444</v>
      </c>
      <c r="F49" s="241">
        <f t="shared" si="17"/>
        <v>-5.1697712325545542</v>
      </c>
      <c r="G49" s="242">
        <f t="shared" si="15"/>
        <v>-9.3658445846444778</v>
      </c>
      <c r="H49" s="209">
        <f>+B$211/B49</f>
        <v>1.22009171526792</v>
      </c>
    </row>
    <row r="50" spans="1:10" ht="15" hidden="1">
      <c r="A50" s="230" t="s">
        <v>155</v>
      </c>
      <c r="B50" s="231">
        <v>1132.1300000000001</v>
      </c>
      <c r="C50" s="207">
        <f t="shared" si="0"/>
        <v>107.66194986496255</v>
      </c>
      <c r="D50" s="212">
        <f t="shared" si="16"/>
        <v>-3.1854486993107445</v>
      </c>
      <c r="E50" s="212">
        <f t="shared" si="18"/>
        <v>-6.7246138002059697</v>
      </c>
      <c r="F50" s="213">
        <f t="shared" si="17"/>
        <v>-7.6030980420961463</v>
      </c>
      <c r="G50" s="211">
        <f t="shared" ref="G50:G77" si="19">100*(B50/B26-1)</f>
        <v>-11.292458374142988</v>
      </c>
      <c r="H50" s="209">
        <f>+B$211/B50</f>
        <v>1.2602358828049784</v>
      </c>
    </row>
    <row r="51" spans="1:10" ht="15" hidden="1">
      <c r="A51" s="230" t="s">
        <v>156</v>
      </c>
      <c r="B51" s="231">
        <v>1141.5999999999999</v>
      </c>
      <c r="C51" s="245">
        <f t="shared" si="0"/>
        <v>108.56251664194149</v>
      </c>
      <c r="D51" s="246">
        <f>100*(B51/B50-1)</f>
        <v>0.83647637638786243</v>
      </c>
      <c r="E51" s="212">
        <f t="shared" si="18"/>
        <v>-5.944387229660153</v>
      </c>
      <c r="F51" s="247">
        <f t="shared" ref="F51:F64" si="20">(100*(B51/B39-1))</f>
        <v>3.4620264636577636</v>
      </c>
      <c r="G51" s="211">
        <f t="shared" si="19"/>
        <v>-10.296001194377013</v>
      </c>
      <c r="H51" s="209">
        <f>+B$211/B51</f>
        <v>1.2497817536790474</v>
      </c>
    </row>
    <row r="52" spans="1:10" ht="15" hidden="1">
      <c r="A52" s="230" t="s">
        <v>157</v>
      </c>
      <c r="B52" s="231">
        <v>1196.8571428571429</v>
      </c>
      <c r="C52" s="207">
        <f t="shared" si="0"/>
        <v>113.81729457730827</v>
      </c>
      <c r="D52" s="212">
        <f>100*(B52/B51-1)</f>
        <v>4.8403243567924914</v>
      </c>
      <c r="E52" s="212">
        <f t="shared" si="18"/>
        <v>-1.391790495806966</v>
      </c>
      <c r="F52" s="213">
        <f t="shared" si="20"/>
        <v>-5.9887563540065187</v>
      </c>
      <c r="G52" s="211">
        <f t="shared" si="19"/>
        <v>-6.0647545496030357</v>
      </c>
      <c r="H52" s="209">
        <f>+B$211/B52</f>
        <v>1.1920811589878255</v>
      </c>
    </row>
    <row r="53" spans="1:10" ht="15" hidden="1">
      <c r="A53" s="230" t="s">
        <v>158</v>
      </c>
      <c r="B53" s="231">
        <v>1076.6666666666667</v>
      </c>
      <c r="C53" s="207">
        <f t="shared" si="0"/>
        <v>102.38756387335641</v>
      </c>
      <c r="D53" s="212">
        <f>100*(B53/B52-1)</f>
        <v>-10.042173947640642</v>
      </c>
      <c r="E53" s="212">
        <f t="shared" ref="E53:E58" si="21">100*(B53/B$46-1)</f>
        <v>-11.294198420871949</v>
      </c>
      <c r="F53" s="213">
        <f t="shared" si="20"/>
        <v>-10.408432147562575</v>
      </c>
      <c r="G53" s="211">
        <f t="shared" si="19"/>
        <v>-17.847450600374891</v>
      </c>
      <c r="H53" s="209">
        <f>+B$211/B53</f>
        <v>1.3251555882352943</v>
      </c>
    </row>
    <row r="54" spans="1:10" ht="15" hidden="1">
      <c r="A54" s="230" t="s">
        <v>159</v>
      </c>
      <c r="B54" s="231">
        <v>1056.6666666666667</v>
      </c>
      <c r="C54" s="207">
        <f t="shared" si="0"/>
        <v>100.48562770233431</v>
      </c>
      <c r="D54" s="212">
        <f t="shared" ref="D54:D59" si="22">100*(B54/B53-1)</f>
        <v>-1.8575851393188847</v>
      </c>
      <c r="E54" s="212">
        <f t="shared" si="21"/>
        <v>-12.941984208719525</v>
      </c>
      <c r="F54" s="213">
        <f t="shared" si="20"/>
        <v>-16.638397353466338</v>
      </c>
      <c r="G54" s="211">
        <f t="shared" si="19"/>
        <v>-8.2507735009710323</v>
      </c>
      <c r="H54" s="209">
        <f>+B$211/B54</f>
        <v>1.3502373974763409</v>
      </c>
    </row>
    <row r="55" spans="1:10" ht="15" hidden="1">
      <c r="A55" s="230" t="s">
        <v>160</v>
      </c>
      <c r="B55" s="231">
        <v>1056.6666666666667</v>
      </c>
      <c r="C55" s="207">
        <f t="shared" si="0"/>
        <v>100.48562770233431</v>
      </c>
      <c r="D55" s="212">
        <f t="shared" si="22"/>
        <v>0</v>
      </c>
      <c r="E55" s="212">
        <f t="shared" si="21"/>
        <v>-12.941984208719525</v>
      </c>
      <c r="F55" s="213">
        <f t="shared" si="20"/>
        <v>-13.103070175438592</v>
      </c>
      <c r="G55" s="211">
        <f t="shared" si="19"/>
        <v>-10.142043602368622</v>
      </c>
      <c r="H55" s="209">
        <f>+B$211/B55</f>
        <v>1.3502373974763409</v>
      </c>
    </row>
    <row r="56" spans="1:10" ht="15" hidden="1">
      <c r="A56" s="230" t="s">
        <v>161</v>
      </c>
      <c r="B56" s="231">
        <v>1057.6666666666699</v>
      </c>
      <c r="C56" s="207">
        <f t="shared" si="0"/>
        <v>100.58072451088573</v>
      </c>
      <c r="D56" s="212">
        <f t="shared" si="22"/>
        <v>9.463722397506924E-2</v>
      </c>
      <c r="E56" s="212">
        <f t="shared" si="21"/>
        <v>-12.859594919326888</v>
      </c>
      <c r="F56" s="213">
        <f t="shared" si="20"/>
        <v>-7.3579347213581947</v>
      </c>
      <c r="G56" s="211">
        <f t="shared" si="19"/>
        <v>-15.596662171184494</v>
      </c>
      <c r="H56" s="209">
        <f>+B$211/B56</f>
        <v>1.3489607784431099</v>
      </c>
      <c r="J56" s="121"/>
    </row>
    <row r="57" spans="1:10" ht="15" hidden="1">
      <c r="A57" s="230" t="s">
        <v>162</v>
      </c>
      <c r="B57" s="231">
        <v>1008.6666666666666</v>
      </c>
      <c r="C57" s="207">
        <f t="shared" si="0"/>
        <v>95.920980891881271</v>
      </c>
      <c r="D57" s="212">
        <f t="shared" si="22"/>
        <v>-4.6328395839902115</v>
      </c>
      <c r="E57" s="212">
        <f t="shared" si="21"/>
        <v>-16.896670099553724</v>
      </c>
      <c r="F57" s="213">
        <f t="shared" si="20"/>
        <v>-13.456313456313463</v>
      </c>
      <c r="G57" s="211">
        <f t="shared" si="19"/>
        <v>-15.656270033726349</v>
      </c>
      <c r="H57" s="209">
        <f>+B$211/B57</f>
        <v>1.4144919200264379</v>
      </c>
    </row>
    <row r="58" spans="1:10" ht="15" hidden="1">
      <c r="A58" s="230" t="s">
        <v>163</v>
      </c>
      <c r="B58" s="231">
        <v>1008.6666666666666</v>
      </c>
      <c r="C58" s="207">
        <f t="shared" si="0"/>
        <v>95.920980891881271</v>
      </c>
      <c r="D58" s="212">
        <f t="shared" si="22"/>
        <v>0</v>
      </c>
      <c r="E58" s="212">
        <f t="shared" si="21"/>
        <v>-16.896670099553724</v>
      </c>
      <c r="F58" s="213">
        <f t="shared" si="20"/>
        <v>-16.896670099553724</v>
      </c>
      <c r="G58" s="211">
        <f t="shared" si="19"/>
        <v>-17.179845088540389</v>
      </c>
      <c r="H58" s="209">
        <f>+B$211/B58</f>
        <v>1.4144919200264379</v>
      </c>
    </row>
    <row r="59" spans="1:10" ht="15" hidden="1">
      <c r="A59" s="230" t="s">
        <v>164</v>
      </c>
      <c r="B59" s="231">
        <f>[105]RODOAR!$D$26</f>
        <v>1010</v>
      </c>
      <c r="C59" s="207">
        <f t="shared" si="0"/>
        <v>96.047776636616078</v>
      </c>
      <c r="D59" s="212">
        <f t="shared" si="22"/>
        <v>0.13218770654328527</v>
      </c>
      <c r="E59" s="212">
        <f t="shared" ref="E59:E64" si="23">100*(B59/B$58-1)</f>
        <v>0.13218770654328527</v>
      </c>
      <c r="F59" s="213">
        <f t="shared" si="20"/>
        <v>-14.633940193045635</v>
      </c>
      <c r="G59" s="211">
        <f t="shared" si="19"/>
        <v>-17.763827483166018</v>
      </c>
      <c r="H59" s="209">
        <f>+B$211/B59</f>
        <v>1.4126246039603965</v>
      </c>
    </row>
    <row r="60" spans="1:10" ht="15" hidden="1">
      <c r="A60" s="230" t="s">
        <v>165</v>
      </c>
      <c r="B60" s="231">
        <f>[106]RODOAR!$D$26</f>
        <v>1010</v>
      </c>
      <c r="C60" s="207">
        <f t="shared" si="0"/>
        <v>96.047776636616078</v>
      </c>
      <c r="D60" s="212">
        <f t="shared" ref="D60:D65" si="24">100*(B60/B59-1)</f>
        <v>0</v>
      </c>
      <c r="E60" s="212">
        <f t="shared" si="23"/>
        <v>0.13218770654328527</v>
      </c>
      <c r="F60" s="213">
        <f t="shared" si="20"/>
        <v>-15.237879436373857</v>
      </c>
      <c r="G60" s="211">
        <f t="shared" si="19"/>
        <v>-15.783505240600682</v>
      </c>
      <c r="H60" s="209">
        <f>+B$211/B60</f>
        <v>1.4126246039603965</v>
      </c>
    </row>
    <row r="61" spans="1:10" ht="15" hidden="1">
      <c r="A61" s="230" t="s">
        <v>166</v>
      </c>
      <c r="B61" s="231">
        <f>[107]RODOAR!$D$26</f>
        <v>1016.6666666666666</v>
      </c>
      <c r="C61" s="207">
        <f t="shared" si="0"/>
        <v>96.681755360290111</v>
      </c>
      <c r="D61" s="212">
        <f t="shared" si="24"/>
        <v>0.66006600660064585</v>
      </c>
      <c r="E61" s="212">
        <f t="shared" si="23"/>
        <v>0.79312623925975601</v>
      </c>
      <c r="F61" s="213">
        <f t="shared" si="20"/>
        <v>-13.059341987491957</v>
      </c>
      <c r="G61" s="211">
        <f t="shared" si="19"/>
        <v>-17.553975114816232</v>
      </c>
      <c r="H61" s="209">
        <f>+B$211/B61</f>
        <v>1.4033614918032791</v>
      </c>
    </row>
    <row r="62" spans="1:10" ht="15" hidden="1">
      <c r="A62" s="230" t="s">
        <v>167</v>
      </c>
      <c r="B62" s="231">
        <f>[108]RODOAR!$D$26</f>
        <v>1016.6666666666666</v>
      </c>
      <c r="C62" s="207">
        <f t="shared" si="0"/>
        <v>96.681755360290111</v>
      </c>
      <c r="D62" s="212">
        <f t="shared" si="24"/>
        <v>0</v>
      </c>
      <c r="E62" s="212">
        <f t="shared" si="23"/>
        <v>0.79312623925975601</v>
      </c>
      <c r="F62" s="213">
        <f t="shared" si="20"/>
        <v>-10.198769870362367</v>
      </c>
      <c r="G62" s="211">
        <f t="shared" si="19"/>
        <v>-17.026445440127102</v>
      </c>
      <c r="H62" s="209">
        <f>+B$211/B62</f>
        <v>1.4033614918032791</v>
      </c>
    </row>
    <row r="63" spans="1:10" ht="15" hidden="1">
      <c r="A63" s="230" t="s">
        <v>168</v>
      </c>
      <c r="B63" s="231">
        <f>[109]RODOAR!$D$26</f>
        <v>1016.6666666666666</v>
      </c>
      <c r="C63" s="207">
        <f t="shared" si="0"/>
        <v>96.681755360290111</v>
      </c>
      <c r="D63" s="212">
        <f t="shared" si="24"/>
        <v>0</v>
      </c>
      <c r="E63" s="212">
        <f t="shared" si="23"/>
        <v>0.79312623925975601</v>
      </c>
      <c r="F63" s="213">
        <f t="shared" si="20"/>
        <v>-10.943704741882732</v>
      </c>
      <c r="G63" s="211">
        <f t="shared" si="19"/>
        <v>-7.8605522324935118</v>
      </c>
      <c r="H63" s="209">
        <f>+B$211/B63</f>
        <v>1.4033614918032791</v>
      </c>
    </row>
    <row r="64" spans="1:10" ht="15" hidden="1">
      <c r="A64" s="230" t="s">
        <v>169</v>
      </c>
      <c r="B64" s="231">
        <f>[110]RODOAR!$D$26</f>
        <v>1025</v>
      </c>
      <c r="C64" s="207">
        <f t="shared" si="0"/>
        <v>97.474228764882653</v>
      </c>
      <c r="D64" s="212">
        <f t="shared" si="24"/>
        <v>0.819672131147553</v>
      </c>
      <c r="E64" s="212">
        <f t="shared" si="23"/>
        <v>1.6192994051553278</v>
      </c>
      <c r="F64" s="213">
        <f t="shared" si="20"/>
        <v>-14.3590355693483</v>
      </c>
      <c r="G64" s="211">
        <f t="shared" si="19"/>
        <v>-19.48786426832142</v>
      </c>
      <c r="H64" s="209">
        <f>+B$211/B64</f>
        <v>1.3919520487804882</v>
      </c>
    </row>
    <row r="65" spans="1:8" ht="15" hidden="1">
      <c r="A65" s="230" t="s">
        <v>170</v>
      </c>
      <c r="B65" s="231">
        <f>[111]RODOAR!$D$26</f>
        <v>1025</v>
      </c>
      <c r="C65" s="207">
        <f t="shared" si="0"/>
        <v>97.474228764882653</v>
      </c>
      <c r="D65" s="212">
        <f t="shared" si="24"/>
        <v>0</v>
      </c>
      <c r="E65" s="212">
        <f t="shared" ref="E65:E70" si="25">100*(B65/B$58-1)</f>
        <v>1.6192994051553278</v>
      </c>
      <c r="F65" s="213">
        <f t="shared" ref="F65:F70" si="26">(100*(B65/B53-1))</f>
        <v>-4.7987616099071317</v>
      </c>
      <c r="G65" s="211">
        <f t="shared" si="19"/>
        <v>-14.707717911379238</v>
      </c>
      <c r="H65" s="209">
        <f>+B$211/B65</f>
        <v>1.3919520487804882</v>
      </c>
    </row>
    <row r="66" spans="1:8" ht="15" hidden="1">
      <c r="A66" s="230" t="s">
        <v>171</v>
      </c>
      <c r="B66" s="231">
        <f>[112]RODOAR!$D$26</f>
        <v>1030</v>
      </c>
      <c r="C66" s="207">
        <f t="shared" si="0"/>
        <v>97.949712807638178</v>
      </c>
      <c r="D66" s="212">
        <f t="shared" ref="D66:D71" si="27">100*(B66/B65-1)</f>
        <v>0.48780487804878092</v>
      </c>
      <c r="E66" s="212">
        <f t="shared" si="25"/>
        <v>2.1150033046926753</v>
      </c>
      <c r="F66" s="213">
        <f t="shared" si="26"/>
        <v>-2.5236593059936974</v>
      </c>
      <c r="G66" s="211">
        <f t="shared" si="19"/>
        <v>-18.742160196281066</v>
      </c>
      <c r="H66" s="209">
        <f>+B$211/B66</f>
        <v>1.3851950000000004</v>
      </c>
    </row>
    <row r="67" spans="1:8" ht="15" hidden="1">
      <c r="A67" s="230" t="s">
        <v>172</v>
      </c>
      <c r="B67" s="231">
        <f>[113]RODOAR!$D$26</f>
        <v>1030</v>
      </c>
      <c r="C67" s="207">
        <f t="shared" si="0"/>
        <v>97.949712807638178</v>
      </c>
      <c r="D67" s="212">
        <f t="shared" si="27"/>
        <v>0</v>
      </c>
      <c r="E67" s="212">
        <f t="shared" si="25"/>
        <v>2.1150033046926753</v>
      </c>
      <c r="F67" s="213">
        <f t="shared" si="26"/>
        <v>-2.5236593059936974</v>
      </c>
      <c r="G67" s="211">
        <f t="shared" si="19"/>
        <v>-15.296052631578949</v>
      </c>
      <c r="H67" s="209">
        <f>+B$211/B67</f>
        <v>1.3851950000000004</v>
      </c>
    </row>
    <row r="68" spans="1:8" ht="15" hidden="1">
      <c r="A68" s="230" t="s">
        <v>173</v>
      </c>
      <c r="B68" s="231">
        <f>[114]RODOAR!$D$26</f>
        <v>1030</v>
      </c>
      <c r="C68" s="207">
        <f t="shared" si="0"/>
        <v>97.949712807638178</v>
      </c>
      <c r="D68" s="212">
        <f t="shared" si="27"/>
        <v>0</v>
      </c>
      <c r="E68" s="212">
        <f t="shared" si="25"/>
        <v>2.1150033046926753</v>
      </c>
      <c r="F68" s="213">
        <f t="shared" si="26"/>
        <v>-2.6158209896000484</v>
      </c>
      <c r="G68" s="211">
        <f t="shared" si="19"/>
        <v>-9.7812853101158836</v>
      </c>
      <c r="H68" s="209">
        <f>+B$211/B68</f>
        <v>1.3851950000000004</v>
      </c>
    </row>
    <row r="69" spans="1:8" ht="15" hidden="1">
      <c r="A69" s="230" t="s">
        <v>174</v>
      </c>
      <c r="B69" s="231">
        <f>[115]RODOAR!$D$26</f>
        <v>1030</v>
      </c>
      <c r="C69" s="207">
        <f t="shared" si="0"/>
        <v>97.949712807638178</v>
      </c>
      <c r="D69" s="212">
        <f t="shared" si="27"/>
        <v>0</v>
      </c>
      <c r="E69" s="212">
        <f t="shared" si="25"/>
        <v>2.1150033046926753</v>
      </c>
      <c r="F69" s="213">
        <f t="shared" si="26"/>
        <v>2.1150033046926753</v>
      </c>
      <c r="G69" s="211">
        <f t="shared" si="19"/>
        <v>-11.625911625911623</v>
      </c>
      <c r="H69" s="209">
        <f>+B$211/B69</f>
        <v>1.3851950000000004</v>
      </c>
    </row>
    <row r="70" spans="1:8" ht="15" hidden="1">
      <c r="A70" s="230" t="s">
        <v>175</v>
      </c>
      <c r="B70" s="231">
        <f>[116]RODOAR!$D$26</f>
        <v>1030</v>
      </c>
      <c r="C70" s="207">
        <f t="shared" si="0"/>
        <v>97.949712807638178</v>
      </c>
      <c r="D70" s="212">
        <f t="shared" si="27"/>
        <v>0</v>
      </c>
      <c r="E70" s="212">
        <f t="shared" si="25"/>
        <v>2.1150033046926753</v>
      </c>
      <c r="F70" s="213">
        <f t="shared" si="26"/>
        <v>2.1150033046926753</v>
      </c>
      <c r="G70" s="211">
        <f t="shared" si="19"/>
        <v>-15.139031925849643</v>
      </c>
      <c r="H70" s="209">
        <f>+B$211/B70</f>
        <v>1.3851950000000004</v>
      </c>
    </row>
    <row r="71" spans="1:8" ht="15" hidden="1">
      <c r="A71" s="230" t="s">
        <v>176</v>
      </c>
      <c r="B71" s="231">
        <f>[117]RODOAR!$D$26</f>
        <v>1030</v>
      </c>
      <c r="C71" s="207">
        <f t="shared" si="0"/>
        <v>97.949712807638178</v>
      </c>
      <c r="D71" s="212">
        <f t="shared" si="27"/>
        <v>0</v>
      </c>
      <c r="E71" s="212">
        <f t="shared" ref="E71:E76" si="28">100*(B71/B$70-1)</f>
        <v>0</v>
      </c>
      <c r="F71" s="213">
        <f t="shared" ref="F71:F76" si="29">(100*(B71/B59-1))</f>
        <v>1.980198019801982</v>
      </c>
      <c r="G71" s="211">
        <f t="shared" si="19"/>
        <v>-12.943523167165349</v>
      </c>
      <c r="H71" s="209">
        <f>+B$211/B71</f>
        <v>1.3851950000000004</v>
      </c>
    </row>
    <row r="72" spans="1:8" ht="15" hidden="1">
      <c r="A72" s="230" t="s">
        <v>177</v>
      </c>
      <c r="B72" s="231">
        <f>[118]RODOAR!$D$26</f>
        <v>1030</v>
      </c>
      <c r="C72" s="207">
        <f t="shared" si="0"/>
        <v>97.949712807638178</v>
      </c>
      <c r="D72" s="212">
        <f t="shared" ref="D72:D77" si="30">100*(B72/B71-1)</f>
        <v>0</v>
      </c>
      <c r="E72" s="212">
        <f t="shared" si="28"/>
        <v>0</v>
      </c>
      <c r="F72" s="213">
        <f t="shared" si="29"/>
        <v>1.980198019801982</v>
      </c>
      <c r="G72" s="211">
        <f t="shared" si="19"/>
        <v>-13.559421603430765</v>
      </c>
      <c r="H72" s="209">
        <f>+B$211/B72</f>
        <v>1.3851950000000004</v>
      </c>
    </row>
    <row r="73" spans="1:8" ht="15" hidden="1">
      <c r="A73" s="230" t="s">
        <v>178</v>
      </c>
      <c r="B73" s="231">
        <f>[119]RODOAR!$D$26</f>
        <v>1030</v>
      </c>
      <c r="C73" s="207">
        <f t="shared" si="0"/>
        <v>97.949712807638178</v>
      </c>
      <c r="D73" s="212">
        <f t="shared" si="30"/>
        <v>0</v>
      </c>
      <c r="E73" s="212">
        <f t="shared" si="28"/>
        <v>0</v>
      </c>
      <c r="F73" s="213">
        <f t="shared" si="29"/>
        <v>1.3114754098360715</v>
      </c>
      <c r="G73" s="211">
        <f t="shared" si="19"/>
        <v>-11.919136636508243</v>
      </c>
      <c r="H73" s="209">
        <f>+B$211/B73</f>
        <v>1.3851950000000004</v>
      </c>
    </row>
    <row r="74" spans="1:8" ht="15" hidden="1">
      <c r="A74" s="230" t="s">
        <v>179</v>
      </c>
      <c r="B74" s="231">
        <f>[120]RODOAR!$D$26</f>
        <v>1030</v>
      </c>
      <c r="C74" s="207">
        <f t="shared" si="0"/>
        <v>97.949712807638178</v>
      </c>
      <c r="D74" s="212">
        <f t="shared" si="30"/>
        <v>0</v>
      </c>
      <c r="E74" s="212">
        <f t="shared" si="28"/>
        <v>0</v>
      </c>
      <c r="F74" s="213">
        <f t="shared" si="29"/>
        <v>1.3114754098360715</v>
      </c>
      <c r="G74" s="211">
        <f t="shared" si="19"/>
        <v>-9.0210488194818694</v>
      </c>
      <c r="H74" s="209">
        <f>+B$211/B74</f>
        <v>1.3851950000000004</v>
      </c>
    </row>
    <row r="75" spans="1:8" ht="15" hidden="1">
      <c r="A75" s="230" t="s">
        <v>180</v>
      </c>
      <c r="B75" s="231">
        <f>[121]RODOAR!$D$26</f>
        <v>1030</v>
      </c>
      <c r="C75" s="207">
        <f t="shared" si="0"/>
        <v>97.949712807638178</v>
      </c>
      <c r="D75" s="212">
        <f t="shared" si="30"/>
        <v>0</v>
      </c>
      <c r="E75" s="212">
        <f t="shared" si="28"/>
        <v>0</v>
      </c>
      <c r="F75" s="213">
        <f t="shared" si="29"/>
        <v>1.3114754098360715</v>
      </c>
      <c r="G75" s="211">
        <f t="shared" si="19"/>
        <v>-9.7757533286615192</v>
      </c>
      <c r="H75" s="209">
        <f>+B$211/B75</f>
        <v>1.3851950000000004</v>
      </c>
    </row>
    <row r="76" spans="1:8" ht="15" hidden="1">
      <c r="A76" s="230" t="s">
        <v>181</v>
      </c>
      <c r="B76" s="231">
        <f>[122]RODOAR!$D$26</f>
        <v>1030</v>
      </c>
      <c r="C76" s="207">
        <f t="shared" si="0"/>
        <v>97.949712807638178</v>
      </c>
      <c r="D76" s="212">
        <f t="shared" si="30"/>
        <v>0</v>
      </c>
      <c r="E76" s="212">
        <f t="shared" si="28"/>
        <v>0</v>
      </c>
      <c r="F76" s="213">
        <f t="shared" si="29"/>
        <v>0.48780487804878092</v>
      </c>
      <c r="G76" s="211">
        <f t="shared" si="19"/>
        <v>-13.941274767247558</v>
      </c>
      <c r="H76" s="209">
        <f>+B$211/B76</f>
        <v>1.3851950000000004</v>
      </c>
    </row>
    <row r="77" spans="1:8" ht="15" hidden="1">
      <c r="A77" s="230" t="s">
        <v>182</v>
      </c>
      <c r="B77" s="231">
        <f>[123]RODOAR!$D$26</f>
        <v>1033.3333333333333</v>
      </c>
      <c r="C77" s="207">
        <f t="shared" si="0"/>
        <v>98.266702169475195</v>
      </c>
      <c r="D77" s="212">
        <f t="shared" si="30"/>
        <v>0.32362459546924072</v>
      </c>
      <c r="E77" s="212">
        <f t="shared" ref="E77:E82" si="31">100*(B77/B$70-1)</f>
        <v>0.32362459546924072</v>
      </c>
      <c r="F77" s="213">
        <f t="shared" ref="F77:F82" si="32">(100*(B77/B65-1))</f>
        <v>0.81300813008129413</v>
      </c>
      <c r="G77" s="211">
        <f t="shared" si="19"/>
        <v>-4.0247678018575979</v>
      </c>
      <c r="H77" s="209">
        <f>+B$211/B77</f>
        <v>1.3807266290322584</v>
      </c>
    </row>
    <row r="78" spans="1:8" ht="15" hidden="1">
      <c r="A78" s="230" t="s">
        <v>183</v>
      </c>
      <c r="B78" s="231">
        <f>[124]RODOAR!$D$26</f>
        <v>1033.3333333333333</v>
      </c>
      <c r="C78" s="207">
        <f t="shared" si="0"/>
        <v>98.266702169475195</v>
      </c>
      <c r="D78" s="212">
        <f t="shared" ref="D78:D83" si="33">100*(B78/B77-1)</f>
        <v>0</v>
      </c>
      <c r="E78" s="212">
        <f t="shared" si="31"/>
        <v>0.32362459546924072</v>
      </c>
      <c r="F78" s="213">
        <f t="shared" si="32"/>
        <v>0.32362459546924072</v>
      </c>
      <c r="G78" s="211">
        <f t="shared" ref="G78:G100" si="34">100*(B78/B54-1)</f>
        <v>-2.2082018927444991</v>
      </c>
      <c r="H78" s="209">
        <f>+B$211/B78</f>
        <v>1.3807266290322584</v>
      </c>
    </row>
    <row r="79" spans="1:8" ht="15" hidden="1">
      <c r="A79" s="230" t="s">
        <v>184</v>
      </c>
      <c r="B79" s="231">
        <f>[125]RODOAR!$D$26</f>
        <v>1033.3333333333333</v>
      </c>
      <c r="C79" s="207">
        <f t="shared" si="0"/>
        <v>98.266702169475195</v>
      </c>
      <c r="D79" s="212">
        <f t="shared" si="33"/>
        <v>0</v>
      </c>
      <c r="E79" s="212">
        <f t="shared" si="31"/>
        <v>0.32362459546924072</v>
      </c>
      <c r="F79" s="213">
        <f t="shared" si="32"/>
        <v>0.32362459546924072</v>
      </c>
      <c r="G79" s="211">
        <f t="shared" si="34"/>
        <v>-2.2082018927444991</v>
      </c>
      <c r="H79" s="209">
        <f>+B$211/B79</f>
        <v>1.3807266290322584</v>
      </c>
    </row>
    <row r="80" spans="1:8" ht="15" hidden="1">
      <c r="A80" s="230" t="s">
        <v>185</v>
      </c>
      <c r="B80" s="231">
        <f>[126]RODOAR!$D$26</f>
        <v>1033.3333333333333</v>
      </c>
      <c r="C80" s="207">
        <f t="shared" si="0"/>
        <v>98.266702169475195</v>
      </c>
      <c r="D80" s="212">
        <f t="shared" si="33"/>
        <v>0</v>
      </c>
      <c r="E80" s="212">
        <f t="shared" si="31"/>
        <v>0.32362459546924072</v>
      </c>
      <c r="F80" s="213">
        <f t="shared" si="32"/>
        <v>0.32362459546924072</v>
      </c>
      <c r="G80" s="211">
        <f t="shared" si="34"/>
        <v>-2.3006618342265917</v>
      </c>
      <c r="H80" s="209">
        <f>+B$211/B80</f>
        <v>1.3807266290322584</v>
      </c>
    </row>
    <row r="81" spans="1:8" ht="15" hidden="1">
      <c r="A81" s="230" t="s">
        <v>186</v>
      </c>
      <c r="B81" s="231">
        <f>[127]RODOAR!$D$26</f>
        <v>1033.3333333333333</v>
      </c>
      <c r="C81" s="207">
        <f t="shared" si="0"/>
        <v>98.266702169475195</v>
      </c>
      <c r="D81" s="212">
        <f t="shared" si="33"/>
        <v>0</v>
      </c>
      <c r="E81" s="212">
        <f t="shared" si="31"/>
        <v>0.32362459546924072</v>
      </c>
      <c r="F81" s="213">
        <f t="shared" si="32"/>
        <v>0.32362459546924072</v>
      </c>
      <c r="G81" s="211">
        <f t="shared" si="34"/>
        <v>2.4454725710508995</v>
      </c>
      <c r="H81" s="209">
        <f>+B$211/B81</f>
        <v>1.3807266290322584</v>
      </c>
    </row>
    <row r="82" spans="1:8" ht="15" hidden="1">
      <c r="A82" s="230" t="s">
        <v>187</v>
      </c>
      <c r="B82" s="231">
        <f>[128]RODOAR!$D$26</f>
        <v>1033.3333333333333</v>
      </c>
      <c r="C82" s="207">
        <f t="shared" si="0"/>
        <v>98.266702169475195</v>
      </c>
      <c r="D82" s="212">
        <f t="shared" si="33"/>
        <v>0</v>
      </c>
      <c r="E82" s="212">
        <f t="shared" si="31"/>
        <v>0.32362459546924072</v>
      </c>
      <c r="F82" s="213">
        <f t="shared" si="32"/>
        <v>0.32362459546924072</v>
      </c>
      <c r="G82" s="211">
        <f t="shared" si="34"/>
        <v>2.4454725710508995</v>
      </c>
      <c r="H82" s="209">
        <f>+B$211/B82</f>
        <v>1.3807266290322584</v>
      </c>
    </row>
    <row r="83" spans="1:8" ht="15" hidden="1">
      <c r="A83" s="230" t="s">
        <v>188</v>
      </c>
      <c r="B83" s="231">
        <f>[129]RODOAR!$D$26</f>
        <v>1083.3333333333333</v>
      </c>
      <c r="C83" s="207">
        <f t="shared" si="0"/>
        <v>103.02154259703045</v>
      </c>
      <c r="D83" s="212">
        <f t="shared" si="33"/>
        <v>4.8387096774193505</v>
      </c>
      <c r="E83" s="212">
        <f t="shared" ref="E83:E88" si="35">100*(B83/B$82-1)</f>
        <v>4.8387096774193505</v>
      </c>
      <c r="F83" s="213">
        <f t="shared" ref="F83:F88" si="36">(100*(B83/B71-1))</f>
        <v>5.1779935275080735</v>
      </c>
      <c r="G83" s="211">
        <f t="shared" si="34"/>
        <v>7.2607260726072598</v>
      </c>
      <c r="H83" s="209">
        <f>+B$211/B83</f>
        <v>1.3170007846153851</v>
      </c>
    </row>
    <row r="84" spans="1:8" ht="15" hidden="1">
      <c r="A84" s="230" t="s">
        <v>189</v>
      </c>
      <c r="B84" s="231">
        <f>[130]RODOAR!$D$26</f>
        <v>1083.3333333333333</v>
      </c>
      <c r="C84" s="207">
        <f t="shared" si="0"/>
        <v>103.02154259703045</v>
      </c>
      <c r="D84" s="212">
        <f t="shared" ref="D84:D89" si="37">100*(B84/B83-1)</f>
        <v>0</v>
      </c>
      <c r="E84" s="212">
        <f t="shared" si="35"/>
        <v>4.8387096774193505</v>
      </c>
      <c r="F84" s="213">
        <f t="shared" si="36"/>
        <v>5.1779935275080735</v>
      </c>
      <c r="G84" s="211">
        <f t="shared" si="34"/>
        <v>7.2607260726072598</v>
      </c>
      <c r="H84" s="209">
        <f>+B$211/B84</f>
        <v>1.3170007846153851</v>
      </c>
    </row>
    <row r="85" spans="1:8" ht="15" hidden="1">
      <c r="A85" s="230" t="s">
        <v>190</v>
      </c>
      <c r="B85" s="231">
        <f>[131]RODOAR!$D$26</f>
        <v>1083.3333333333333</v>
      </c>
      <c r="C85" s="207">
        <f t="shared" si="0"/>
        <v>103.02154259703045</v>
      </c>
      <c r="D85" s="212">
        <f t="shared" si="37"/>
        <v>0</v>
      </c>
      <c r="E85" s="212">
        <f t="shared" si="35"/>
        <v>4.8387096774193505</v>
      </c>
      <c r="F85" s="213">
        <f t="shared" si="36"/>
        <v>5.1779935275080735</v>
      </c>
      <c r="G85" s="211">
        <f t="shared" si="34"/>
        <v>6.5573770491803351</v>
      </c>
      <c r="H85" s="209">
        <f>+B$211/B85</f>
        <v>1.3170007846153851</v>
      </c>
    </row>
    <row r="86" spans="1:8" ht="15" hidden="1">
      <c r="A86" s="230" t="s">
        <v>191</v>
      </c>
      <c r="B86" s="231">
        <f>[132]RODOAR!$D$26</f>
        <v>1083.3333333333333</v>
      </c>
      <c r="C86" s="207">
        <f t="shared" si="0"/>
        <v>103.02154259703045</v>
      </c>
      <c r="D86" s="212">
        <f t="shared" si="37"/>
        <v>0</v>
      </c>
      <c r="E86" s="212">
        <f t="shared" si="35"/>
        <v>4.8387096774193505</v>
      </c>
      <c r="F86" s="213">
        <f t="shared" si="36"/>
        <v>5.1779935275080735</v>
      </c>
      <c r="G86" s="211">
        <f t="shared" si="34"/>
        <v>6.5573770491803351</v>
      </c>
      <c r="H86" s="209">
        <f>+B$211/B86</f>
        <v>1.3170007846153851</v>
      </c>
    </row>
    <row r="87" spans="1:8" ht="13.5" hidden="1" customHeight="1">
      <c r="A87" s="230" t="s">
        <v>192</v>
      </c>
      <c r="B87" s="231">
        <f>[133]RODOAR!$D$26</f>
        <v>1070</v>
      </c>
      <c r="C87" s="207">
        <f t="shared" si="0"/>
        <v>101.75358514968238</v>
      </c>
      <c r="D87" s="212">
        <f t="shared" si="37"/>
        <v>-1.2307692307692242</v>
      </c>
      <c r="E87" s="212">
        <f t="shared" si="35"/>
        <v>3.5483870967742082</v>
      </c>
      <c r="F87" s="213">
        <f t="shared" si="36"/>
        <v>3.8834951456310662</v>
      </c>
      <c r="G87" s="211">
        <f t="shared" si="34"/>
        <v>5.2459016393442637</v>
      </c>
      <c r="H87" s="209">
        <f>+B$211/B87</f>
        <v>1.3334120093457946</v>
      </c>
    </row>
    <row r="88" spans="1:8" ht="13.5" hidden="1" customHeight="1">
      <c r="A88" s="230" t="s">
        <v>193</v>
      </c>
      <c r="B88" s="231">
        <f>[134]RODOAR!$D$26</f>
        <v>1070</v>
      </c>
      <c r="C88" s="207">
        <f t="shared" si="0"/>
        <v>101.75358514968238</v>
      </c>
      <c r="D88" s="212">
        <f t="shared" si="37"/>
        <v>0</v>
      </c>
      <c r="E88" s="212">
        <f t="shared" si="35"/>
        <v>3.5483870967742082</v>
      </c>
      <c r="F88" s="213">
        <f t="shared" si="36"/>
        <v>3.8834951456310662</v>
      </c>
      <c r="G88" s="211">
        <f t="shared" si="34"/>
        <v>4.3902439024390283</v>
      </c>
      <c r="H88" s="209">
        <f>+B$211/B88</f>
        <v>1.3334120093457946</v>
      </c>
    </row>
    <row r="89" spans="1:8" ht="13.5" hidden="1" customHeight="1">
      <c r="A89" s="230" t="s">
        <v>194</v>
      </c>
      <c r="B89" s="231">
        <f>[135]RODOAR!$D$26</f>
        <v>1070</v>
      </c>
      <c r="C89" s="207">
        <f t="shared" si="0"/>
        <v>101.75358514968238</v>
      </c>
      <c r="D89" s="212">
        <f t="shared" si="37"/>
        <v>0</v>
      </c>
      <c r="E89" s="212">
        <f t="shared" ref="E89:E94" si="38">100*(B89/B$82-1)</f>
        <v>3.5483870967742082</v>
      </c>
      <c r="F89" s="213">
        <f t="shared" ref="F89:F100" si="39">(100*(B89/B77-1))</f>
        <v>3.5483870967742082</v>
      </c>
      <c r="G89" s="211">
        <f t="shared" si="34"/>
        <v>4.3902439024390283</v>
      </c>
      <c r="H89" s="209">
        <f>+B$211/B89</f>
        <v>1.3334120093457946</v>
      </c>
    </row>
    <row r="90" spans="1:8" ht="13.5" hidden="1" customHeight="1">
      <c r="A90" s="230" t="s">
        <v>195</v>
      </c>
      <c r="B90" s="231">
        <f>[136]RODOAR!$D$26</f>
        <v>1070</v>
      </c>
      <c r="C90" s="207">
        <f t="shared" si="0"/>
        <v>101.75358514968238</v>
      </c>
      <c r="D90" s="212">
        <f t="shared" ref="D90:D95" si="40">100*(B90/B89-1)</f>
        <v>0</v>
      </c>
      <c r="E90" s="212">
        <f t="shared" si="38"/>
        <v>3.5483870967742082</v>
      </c>
      <c r="F90" s="213">
        <f t="shared" si="39"/>
        <v>3.5483870967742082</v>
      </c>
      <c r="G90" s="211">
        <f t="shared" si="34"/>
        <v>3.8834951456310662</v>
      </c>
      <c r="H90" s="209">
        <f>+B$211/B90</f>
        <v>1.3334120093457946</v>
      </c>
    </row>
    <row r="91" spans="1:8" ht="13.5" hidden="1" customHeight="1">
      <c r="A91" s="230" t="s">
        <v>196</v>
      </c>
      <c r="B91" s="231">
        <f>[137]RODOAR!$D$26</f>
        <v>1070</v>
      </c>
      <c r="C91" s="207">
        <f t="shared" si="0"/>
        <v>101.75358514968238</v>
      </c>
      <c r="D91" s="212">
        <f t="shared" si="40"/>
        <v>0</v>
      </c>
      <c r="E91" s="212">
        <f t="shared" si="38"/>
        <v>3.5483870967742082</v>
      </c>
      <c r="F91" s="213">
        <f t="shared" si="39"/>
        <v>3.5483870967742082</v>
      </c>
      <c r="G91" s="211">
        <f t="shared" si="34"/>
        <v>3.8834951456310662</v>
      </c>
      <c r="H91" s="209">
        <f>+B$211/B91</f>
        <v>1.3334120093457946</v>
      </c>
    </row>
    <row r="92" spans="1:8" ht="13.5" hidden="1" customHeight="1">
      <c r="A92" s="230" t="s">
        <v>197</v>
      </c>
      <c r="B92" s="231">
        <f>[138]RODOAR!$D$26</f>
        <v>1083.3333333333333</v>
      </c>
      <c r="C92" s="207">
        <f t="shared" si="0"/>
        <v>103.02154259703045</v>
      </c>
      <c r="D92" s="212">
        <f t="shared" si="40"/>
        <v>1.2461059190031154</v>
      </c>
      <c r="E92" s="212">
        <f t="shared" si="38"/>
        <v>4.8387096774193505</v>
      </c>
      <c r="F92" s="213">
        <f t="shared" si="39"/>
        <v>4.8387096774193505</v>
      </c>
      <c r="G92" s="211">
        <f t="shared" si="34"/>
        <v>5.1779935275080735</v>
      </c>
      <c r="H92" s="209">
        <f>+B$211/B92</f>
        <v>1.3170007846153851</v>
      </c>
    </row>
    <row r="93" spans="1:8" ht="13.5" hidden="1" customHeight="1">
      <c r="A93" s="230" t="s">
        <v>198</v>
      </c>
      <c r="B93" s="231">
        <f>[139]RODOAR!$D$26</f>
        <v>1083.3333333333333</v>
      </c>
      <c r="C93" s="207">
        <f t="shared" si="0"/>
        <v>103.02154259703045</v>
      </c>
      <c r="D93" s="212">
        <f t="shared" si="40"/>
        <v>0</v>
      </c>
      <c r="E93" s="212">
        <f t="shared" si="38"/>
        <v>4.8387096774193505</v>
      </c>
      <c r="F93" s="213">
        <f t="shared" si="39"/>
        <v>4.8387096774193505</v>
      </c>
      <c r="G93" s="211">
        <f t="shared" si="34"/>
        <v>5.1779935275080735</v>
      </c>
      <c r="H93" s="209">
        <f>+B$211/B93</f>
        <v>1.3170007846153851</v>
      </c>
    </row>
    <row r="94" spans="1:8" ht="13.5" hidden="1" customHeight="1">
      <c r="A94" s="230" t="s">
        <v>199</v>
      </c>
      <c r="B94" s="231">
        <f>[140]RODOAR!$D$26</f>
        <v>1083.3333333333333</v>
      </c>
      <c r="C94" s="207">
        <f t="shared" si="0"/>
        <v>103.02154259703045</v>
      </c>
      <c r="D94" s="212">
        <f t="shared" si="40"/>
        <v>0</v>
      </c>
      <c r="E94" s="212">
        <f t="shared" si="38"/>
        <v>4.8387096774193505</v>
      </c>
      <c r="F94" s="213">
        <f t="shared" si="39"/>
        <v>4.8387096774193505</v>
      </c>
      <c r="G94" s="211">
        <f t="shared" si="34"/>
        <v>5.1779935275080735</v>
      </c>
      <c r="H94" s="209">
        <f>+B$211/B94</f>
        <v>1.3170007846153851</v>
      </c>
    </row>
    <row r="95" spans="1:8" ht="16.5" customHeight="1">
      <c r="A95" s="232" t="s">
        <v>200</v>
      </c>
      <c r="B95" s="231">
        <f>[141]RODOAR!$D$26</f>
        <v>1083.3333333333333</v>
      </c>
      <c r="C95" s="207">
        <f t="shared" si="0"/>
        <v>103.02154259703045</v>
      </c>
      <c r="D95" s="214">
        <f t="shared" si="40"/>
        <v>0</v>
      </c>
      <c r="E95" s="214">
        <f t="shared" ref="E95:E100" si="41">100*(B95/B$94-1)</f>
        <v>0</v>
      </c>
      <c r="F95" s="215">
        <f t="shared" si="39"/>
        <v>0</v>
      </c>
      <c r="G95" s="216">
        <f t="shared" si="34"/>
        <v>5.1779935275080735</v>
      </c>
      <c r="H95" s="209">
        <f>+B$211/B95</f>
        <v>1.3170007846153851</v>
      </c>
    </row>
    <row r="96" spans="1:8" ht="16.5" customHeight="1">
      <c r="A96" s="232" t="s">
        <v>201</v>
      </c>
      <c r="B96" s="231">
        <f>[142]RODOAR!$D$26</f>
        <v>1083.3333333333333</v>
      </c>
      <c r="C96" s="207">
        <f t="shared" si="0"/>
        <v>103.02154259703045</v>
      </c>
      <c r="D96" s="214">
        <f t="shared" ref="D96:D101" si="42">100*(B96/B95-1)</f>
        <v>0</v>
      </c>
      <c r="E96" s="214">
        <f t="shared" si="41"/>
        <v>0</v>
      </c>
      <c r="F96" s="215">
        <f t="shared" si="39"/>
        <v>0</v>
      </c>
      <c r="G96" s="216">
        <f t="shared" si="34"/>
        <v>5.1779935275080735</v>
      </c>
      <c r="H96" s="209">
        <f>+B$211/B96</f>
        <v>1.3170007846153851</v>
      </c>
    </row>
    <row r="97" spans="1:8" ht="16.5" customHeight="1">
      <c r="A97" s="232" t="s">
        <v>202</v>
      </c>
      <c r="B97" s="231">
        <f>[143]RODOAR!$D$26</f>
        <v>1083.3333333333333</v>
      </c>
      <c r="C97" s="207">
        <f t="shared" si="0"/>
        <v>103.02154259703045</v>
      </c>
      <c r="D97" s="214">
        <f t="shared" si="42"/>
        <v>0</v>
      </c>
      <c r="E97" s="214">
        <f t="shared" si="41"/>
        <v>0</v>
      </c>
      <c r="F97" s="215">
        <f t="shared" si="39"/>
        <v>0</v>
      </c>
      <c r="G97" s="216">
        <f t="shared" si="34"/>
        <v>5.1779935275080735</v>
      </c>
      <c r="H97" s="209">
        <f t="shared" ref="H97:H160" si="43">+B$211/B97</f>
        <v>1.3170007846153851</v>
      </c>
    </row>
    <row r="98" spans="1:8" ht="16.5" customHeight="1">
      <c r="A98" s="232" t="s">
        <v>203</v>
      </c>
      <c r="B98" s="231">
        <f>[144]RODOAR!$D$26</f>
        <v>1083.3333333333333</v>
      </c>
      <c r="C98" s="207">
        <f t="shared" si="0"/>
        <v>103.02154259703045</v>
      </c>
      <c r="D98" s="214">
        <f t="shared" si="42"/>
        <v>0</v>
      </c>
      <c r="E98" s="214">
        <f t="shared" si="41"/>
        <v>0</v>
      </c>
      <c r="F98" s="215">
        <f t="shared" si="39"/>
        <v>0</v>
      </c>
      <c r="G98" s="216">
        <f t="shared" si="34"/>
        <v>5.1779935275080735</v>
      </c>
      <c r="H98" s="209">
        <f t="shared" si="43"/>
        <v>1.3170007846153851</v>
      </c>
    </row>
    <row r="99" spans="1:8" ht="16.5" customHeight="1">
      <c r="A99" s="232" t="s">
        <v>204</v>
      </c>
      <c r="B99" s="231">
        <f>[145]RODOAR!$D$26</f>
        <v>1090</v>
      </c>
      <c r="C99" s="207">
        <f t="shared" si="0"/>
        <v>103.65552132070448</v>
      </c>
      <c r="D99" s="214">
        <f t="shared" si="42"/>
        <v>0.61538461538461764</v>
      </c>
      <c r="E99" s="214">
        <f t="shared" si="41"/>
        <v>0.61538461538461764</v>
      </c>
      <c r="F99" s="215">
        <f t="shared" si="39"/>
        <v>1.8691588785046731</v>
      </c>
      <c r="G99" s="216">
        <f t="shared" si="34"/>
        <v>5.8252427184465994</v>
      </c>
      <c r="H99" s="209">
        <f t="shared" si="43"/>
        <v>1.3089457339449544</v>
      </c>
    </row>
    <row r="100" spans="1:8" ht="16.5" customHeight="1">
      <c r="A100" s="232" t="s">
        <v>205</v>
      </c>
      <c r="B100" s="231">
        <f>[146]RODOAR!$D$26</f>
        <v>1090</v>
      </c>
      <c r="C100" s="207">
        <f t="shared" si="0"/>
        <v>103.65552132070448</v>
      </c>
      <c r="D100" s="214">
        <f t="shared" si="42"/>
        <v>0</v>
      </c>
      <c r="E100" s="214">
        <f t="shared" si="41"/>
        <v>0.61538461538461764</v>
      </c>
      <c r="F100" s="215">
        <f t="shared" si="39"/>
        <v>1.8691588785046731</v>
      </c>
      <c r="G100" s="216">
        <f t="shared" si="34"/>
        <v>5.8252427184465994</v>
      </c>
      <c r="H100" s="209">
        <f t="shared" si="43"/>
        <v>1.3089457339449544</v>
      </c>
    </row>
    <row r="101" spans="1:8" ht="16.5" customHeight="1">
      <c r="A101" s="232" t="s">
        <v>206</v>
      </c>
      <c r="B101" s="231">
        <f>[147]RODOAR!$D$26</f>
        <v>1090</v>
      </c>
      <c r="C101" s="207">
        <f t="shared" si="0"/>
        <v>103.65552132070448</v>
      </c>
      <c r="D101" s="214">
        <f t="shared" si="42"/>
        <v>0</v>
      </c>
      <c r="E101" s="214">
        <f t="shared" ref="E101:E106" si="44">100*(B101/B$94-1)</f>
        <v>0.61538461538461764</v>
      </c>
      <c r="F101" s="215">
        <f t="shared" ref="F101:F106" si="45">(100*(B101/B89-1))</f>
        <v>1.8691588785046731</v>
      </c>
      <c r="G101" s="216">
        <f t="shared" ref="G101:G106" si="46">100*(B101/B77-1)</f>
        <v>5.4838709677419439</v>
      </c>
      <c r="H101" s="209">
        <f t="shared" si="43"/>
        <v>1.3089457339449544</v>
      </c>
    </row>
    <row r="102" spans="1:8" ht="16.5" customHeight="1">
      <c r="A102" s="232" t="s">
        <v>207</v>
      </c>
      <c r="B102" s="231">
        <f>[148]RODOAR!$D$26</f>
        <v>1090</v>
      </c>
      <c r="C102" s="207">
        <f t="shared" si="0"/>
        <v>103.65552132070448</v>
      </c>
      <c r="D102" s="214">
        <f t="shared" ref="D102:D107" si="47">100*(B102/B101-1)</f>
        <v>0</v>
      </c>
      <c r="E102" s="214">
        <f t="shared" si="44"/>
        <v>0.61538461538461764</v>
      </c>
      <c r="F102" s="215">
        <f t="shared" si="45"/>
        <v>1.8691588785046731</v>
      </c>
      <c r="G102" s="216">
        <f t="shared" si="46"/>
        <v>5.4838709677419439</v>
      </c>
      <c r="H102" s="209">
        <f t="shared" si="43"/>
        <v>1.3089457339449544</v>
      </c>
    </row>
    <row r="103" spans="1:8" ht="16.5" customHeight="1">
      <c r="A103" s="232" t="s">
        <v>208</v>
      </c>
      <c r="B103" s="231">
        <f>[149]RODOAR!$D$26</f>
        <v>1090</v>
      </c>
      <c r="C103" s="207">
        <f t="shared" si="0"/>
        <v>103.65552132070448</v>
      </c>
      <c r="D103" s="214">
        <f t="shared" si="47"/>
        <v>0</v>
      </c>
      <c r="E103" s="214">
        <f t="shared" si="44"/>
        <v>0.61538461538461764</v>
      </c>
      <c r="F103" s="215">
        <f t="shared" si="45"/>
        <v>1.8691588785046731</v>
      </c>
      <c r="G103" s="216">
        <f t="shared" si="46"/>
        <v>5.4838709677419439</v>
      </c>
      <c r="H103" s="209">
        <f t="shared" si="43"/>
        <v>1.3089457339449544</v>
      </c>
    </row>
    <row r="104" spans="1:8" ht="16.5" customHeight="1">
      <c r="A104" s="232" t="s">
        <v>209</v>
      </c>
      <c r="B104" s="231">
        <f>[150]RODOAR!$D$26</f>
        <v>1103.3333333333333</v>
      </c>
      <c r="C104" s="207">
        <f t="shared" si="0"/>
        <v>104.92347876805255</v>
      </c>
      <c r="D104" s="214">
        <f t="shared" si="47"/>
        <v>1.2232415902140525</v>
      </c>
      <c r="E104" s="214">
        <f t="shared" si="44"/>
        <v>1.8461538461538529</v>
      </c>
      <c r="F104" s="215">
        <f t="shared" si="45"/>
        <v>1.8461538461538529</v>
      </c>
      <c r="G104" s="216">
        <f t="shared" si="46"/>
        <v>6.7741935483870863</v>
      </c>
      <c r="H104" s="209">
        <f t="shared" si="43"/>
        <v>1.2931276586102722</v>
      </c>
    </row>
    <row r="105" spans="1:8" ht="16.5" customHeight="1">
      <c r="A105" s="232" t="s">
        <v>210</v>
      </c>
      <c r="B105" s="231">
        <f>[151]RODOAR!$D$26</f>
        <v>1103.3333333333333</v>
      </c>
      <c r="C105" s="207">
        <f t="shared" si="0"/>
        <v>104.92347876805255</v>
      </c>
      <c r="D105" s="214">
        <f t="shared" si="47"/>
        <v>0</v>
      </c>
      <c r="E105" s="214">
        <f t="shared" si="44"/>
        <v>1.8461538461538529</v>
      </c>
      <c r="F105" s="215">
        <f t="shared" si="45"/>
        <v>1.8461538461538529</v>
      </c>
      <c r="G105" s="216">
        <f t="shared" si="46"/>
        <v>6.7741935483870863</v>
      </c>
      <c r="H105" s="209">
        <f t="shared" si="43"/>
        <v>1.2931276586102722</v>
      </c>
    </row>
    <row r="106" spans="1:8" ht="16.5" customHeight="1">
      <c r="A106" s="232" t="s">
        <v>211</v>
      </c>
      <c r="B106" s="231">
        <f>[152]RODOAR!$D$26</f>
        <v>1103.3333333333333</v>
      </c>
      <c r="C106" s="207">
        <f t="shared" si="0"/>
        <v>104.92347876805255</v>
      </c>
      <c r="D106" s="214">
        <f t="shared" si="47"/>
        <v>0</v>
      </c>
      <c r="E106" s="214">
        <f t="shared" si="44"/>
        <v>1.8461538461538529</v>
      </c>
      <c r="F106" s="215">
        <f t="shared" si="45"/>
        <v>1.8461538461538529</v>
      </c>
      <c r="G106" s="216">
        <f t="shared" si="46"/>
        <v>6.7741935483870863</v>
      </c>
      <c r="H106" s="209">
        <f t="shared" si="43"/>
        <v>1.2931276586102722</v>
      </c>
    </row>
    <row r="107" spans="1:8" ht="16.5" customHeight="1">
      <c r="A107" s="232" t="s">
        <v>212</v>
      </c>
      <c r="B107" s="231">
        <f>[153]RODOAR!$D$26</f>
        <v>1103.3333333333333</v>
      </c>
      <c r="C107" s="207">
        <f t="shared" ref="C107:C112" si="48">100*B107/B$8</f>
        <v>104.92347876805255</v>
      </c>
      <c r="D107" s="214">
        <f t="shared" si="47"/>
        <v>0</v>
      </c>
      <c r="E107" s="214">
        <f t="shared" ref="E107:E112" si="49">100*(B107/B$106-1)</f>
        <v>0</v>
      </c>
      <c r="F107" s="215">
        <f t="shared" ref="F107:F112" si="50">(100*(B107/B95-1))</f>
        <v>1.8461538461538529</v>
      </c>
      <c r="G107" s="216">
        <f t="shared" ref="G107:G112" si="51">100*(B107/B83-1)</f>
        <v>1.8461538461538529</v>
      </c>
      <c r="H107" s="209">
        <f t="shared" si="43"/>
        <v>1.2931276586102722</v>
      </c>
    </row>
    <row r="108" spans="1:8" ht="16.5" customHeight="1">
      <c r="A108" s="232" t="s">
        <v>213</v>
      </c>
      <c r="B108" s="231">
        <f>[154]RODOAR!$D$26</f>
        <v>1103.3333333333333</v>
      </c>
      <c r="C108" s="207">
        <f t="shared" si="48"/>
        <v>104.92347876805255</v>
      </c>
      <c r="D108" s="214">
        <f t="shared" ref="D108:D113" si="52">100*(B108/B107-1)</f>
        <v>0</v>
      </c>
      <c r="E108" s="214">
        <f t="shared" si="49"/>
        <v>0</v>
      </c>
      <c r="F108" s="215">
        <f t="shared" si="50"/>
        <v>1.8461538461538529</v>
      </c>
      <c r="G108" s="216">
        <f t="shared" si="51"/>
        <v>1.8461538461538529</v>
      </c>
      <c r="H108" s="209">
        <f t="shared" si="43"/>
        <v>1.2931276586102722</v>
      </c>
    </row>
    <row r="109" spans="1:8" ht="16.5" customHeight="1">
      <c r="A109" s="232" t="s">
        <v>214</v>
      </c>
      <c r="B109" s="231">
        <f>[155]RODOAR!$D$26</f>
        <v>1103.3333333333333</v>
      </c>
      <c r="C109" s="207">
        <f t="shared" si="48"/>
        <v>104.92347876805255</v>
      </c>
      <c r="D109" s="214">
        <f t="shared" si="52"/>
        <v>0</v>
      </c>
      <c r="E109" s="214">
        <f t="shared" si="49"/>
        <v>0</v>
      </c>
      <c r="F109" s="215">
        <f t="shared" si="50"/>
        <v>1.8461538461538529</v>
      </c>
      <c r="G109" s="216">
        <f t="shared" si="51"/>
        <v>1.8461538461538529</v>
      </c>
      <c r="H109" s="209">
        <f t="shared" si="43"/>
        <v>1.2931276586102722</v>
      </c>
    </row>
    <row r="110" spans="1:8" ht="16.5" customHeight="1">
      <c r="A110" s="232" t="s">
        <v>215</v>
      </c>
      <c r="B110" s="231">
        <f>[156]RODOAR!$D$26</f>
        <v>1103.3333333333333</v>
      </c>
      <c r="C110" s="207">
        <f t="shared" si="48"/>
        <v>104.92347876805255</v>
      </c>
      <c r="D110" s="214">
        <f t="shared" si="52"/>
        <v>0</v>
      </c>
      <c r="E110" s="214">
        <f t="shared" si="49"/>
        <v>0</v>
      </c>
      <c r="F110" s="215">
        <f t="shared" si="50"/>
        <v>1.8461538461538529</v>
      </c>
      <c r="G110" s="216">
        <f t="shared" si="51"/>
        <v>1.8461538461538529</v>
      </c>
      <c r="H110" s="209">
        <f t="shared" si="43"/>
        <v>1.2931276586102722</v>
      </c>
    </row>
    <row r="111" spans="1:8" ht="16.5" customHeight="1">
      <c r="A111" s="232" t="s">
        <v>216</v>
      </c>
      <c r="B111" s="231">
        <f>[157]RODOAR!$D$26</f>
        <v>1150</v>
      </c>
      <c r="C111" s="207">
        <f t="shared" si="48"/>
        <v>109.36132983377078</v>
      </c>
      <c r="D111" s="214">
        <f t="shared" si="52"/>
        <v>4.2296072507552962</v>
      </c>
      <c r="E111" s="214">
        <f t="shared" si="49"/>
        <v>4.2296072507552962</v>
      </c>
      <c r="F111" s="215">
        <f t="shared" si="50"/>
        <v>5.504587155963292</v>
      </c>
      <c r="G111" s="216">
        <f t="shared" si="51"/>
        <v>7.4766355140186924</v>
      </c>
      <c r="H111" s="209">
        <f t="shared" si="43"/>
        <v>1.2406529130434785</v>
      </c>
    </row>
    <row r="112" spans="1:8" ht="16.5" customHeight="1">
      <c r="A112" s="232" t="s">
        <v>217</v>
      </c>
      <c r="B112" s="231">
        <f>[158]RODOAR!$D$26</f>
        <v>1150</v>
      </c>
      <c r="C112" s="207">
        <f t="shared" si="48"/>
        <v>109.36132983377078</v>
      </c>
      <c r="D112" s="214">
        <f t="shared" si="52"/>
        <v>0</v>
      </c>
      <c r="E112" s="214">
        <f t="shared" si="49"/>
        <v>4.2296072507552962</v>
      </c>
      <c r="F112" s="215">
        <f t="shared" si="50"/>
        <v>5.504587155963292</v>
      </c>
      <c r="G112" s="216">
        <f t="shared" si="51"/>
        <v>7.4766355140186924</v>
      </c>
      <c r="H112" s="209">
        <f t="shared" si="43"/>
        <v>1.2406529130434785</v>
      </c>
    </row>
    <row r="113" spans="1:8" ht="16.5" customHeight="1">
      <c r="A113" s="232" t="s">
        <v>218</v>
      </c>
      <c r="B113" s="231">
        <f>[159]RODOAR!$D$26</f>
        <v>1150</v>
      </c>
      <c r="C113" s="207">
        <f t="shared" ref="C113:C118" si="53">100*B113/B$8</f>
        <v>109.36132983377078</v>
      </c>
      <c r="D113" s="214">
        <f t="shared" si="52"/>
        <v>0</v>
      </c>
      <c r="E113" s="214">
        <f t="shared" ref="E113:E118" si="54">100*(B113/B$106-1)</f>
        <v>4.2296072507552962</v>
      </c>
      <c r="F113" s="215">
        <f t="shared" ref="F113:F118" si="55">(100*(B113/B101-1))</f>
        <v>5.504587155963292</v>
      </c>
      <c r="G113" s="216">
        <f t="shared" ref="G113:G118" si="56">100*(B113/B89-1)</f>
        <v>7.4766355140186924</v>
      </c>
      <c r="H113" s="209">
        <f t="shared" si="43"/>
        <v>1.2406529130434785</v>
      </c>
    </row>
    <row r="114" spans="1:8" ht="16.5" customHeight="1">
      <c r="A114" s="232" t="s">
        <v>219</v>
      </c>
      <c r="B114" s="231">
        <f>[160]RODOAR!$D$26</f>
        <v>1150</v>
      </c>
      <c r="C114" s="207">
        <f t="shared" si="53"/>
        <v>109.36132983377078</v>
      </c>
      <c r="D114" s="214">
        <f t="shared" ref="D114:D119" si="57">100*(B114/B113-1)</f>
        <v>0</v>
      </c>
      <c r="E114" s="214">
        <f t="shared" si="54"/>
        <v>4.2296072507552962</v>
      </c>
      <c r="F114" s="215">
        <f t="shared" si="55"/>
        <v>5.504587155963292</v>
      </c>
      <c r="G114" s="216">
        <f t="shared" si="56"/>
        <v>7.4766355140186924</v>
      </c>
      <c r="H114" s="209">
        <f t="shared" si="43"/>
        <v>1.2406529130434785</v>
      </c>
    </row>
    <row r="115" spans="1:8" ht="16.5" customHeight="1">
      <c r="A115" s="232" t="s">
        <v>220</v>
      </c>
      <c r="B115" s="231">
        <f>[161]RODOAR!$D$26</f>
        <v>1150</v>
      </c>
      <c r="C115" s="207">
        <f t="shared" si="53"/>
        <v>109.36132983377078</v>
      </c>
      <c r="D115" s="214">
        <f t="shared" si="57"/>
        <v>0</v>
      </c>
      <c r="E115" s="214">
        <f t="shared" si="54"/>
        <v>4.2296072507552962</v>
      </c>
      <c r="F115" s="215">
        <f t="shared" si="55"/>
        <v>5.504587155963292</v>
      </c>
      <c r="G115" s="216">
        <f t="shared" si="56"/>
        <v>7.4766355140186924</v>
      </c>
      <c r="H115" s="209">
        <f t="shared" si="43"/>
        <v>1.2406529130434785</v>
      </c>
    </row>
    <row r="116" spans="1:8" ht="16.5" customHeight="1">
      <c r="A116" s="232" t="s">
        <v>221</v>
      </c>
      <c r="B116" s="231">
        <f>[162]RODOAR!$D$26</f>
        <v>1150</v>
      </c>
      <c r="C116" s="207">
        <f t="shared" si="53"/>
        <v>109.36132983377078</v>
      </c>
      <c r="D116" s="214">
        <f t="shared" si="57"/>
        <v>0</v>
      </c>
      <c r="E116" s="214">
        <f t="shared" si="54"/>
        <v>4.2296072507552962</v>
      </c>
      <c r="F116" s="215">
        <f t="shared" si="55"/>
        <v>4.2296072507552962</v>
      </c>
      <c r="G116" s="216">
        <f t="shared" si="56"/>
        <v>6.1538461538461542</v>
      </c>
      <c r="H116" s="209">
        <f t="shared" si="43"/>
        <v>1.2406529130434785</v>
      </c>
    </row>
    <row r="117" spans="1:8" ht="16.5" customHeight="1">
      <c r="A117" s="232" t="s">
        <v>222</v>
      </c>
      <c r="B117" s="231">
        <f>[163]RODOAR!$D$26</f>
        <v>1150</v>
      </c>
      <c r="C117" s="207">
        <f t="shared" si="53"/>
        <v>109.36132983377078</v>
      </c>
      <c r="D117" s="214">
        <f t="shared" si="57"/>
        <v>0</v>
      </c>
      <c r="E117" s="214">
        <f t="shared" si="54"/>
        <v>4.2296072507552962</v>
      </c>
      <c r="F117" s="215">
        <f t="shared" si="55"/>
        <v>4.2296072507552962</v>
      </c>
      <c r="G117" s="216">
        <f t="shared" si="56"/>
        <v>6.1538461538461542</v>
      </c>
      <c r="H117" s="209">
        <f t="shared" si="43"/>
        <v>1.2406529130434785</v>
      </c>
    </row>
    <row r="118" spans="1:8" ht="16.5" customHeight="1">
      <c r="A118" s="232" t="s">
        <v>223</v>
      </c>
      <c r="B118" s="231">
        <f>[164]RODOAR!$D$26</f>
        <v>1150</v>
      </c>
      <c r="C118" s="207">
        <f t="shared" si="53"/>
        <v>109.36132983377078</v>
      </c>
      <c r="D118" s="214">
        <f t="shared" si="57"/>
        <v>0</v>
      </c>
      <c r="E118" s="214">
        <f t="shared" si="54"/>
        <v>4.2296072507552962</v>
      </c>
      <c r="F118" s="215">
        <f t="shared" si="55"/>
        <v>4.2296072507552962</v>
      </c>
      <c r="G118" s="216">
        <f t="shared" si="56"/>
        <v>6.1538461538461542</v>
      </c>
      <c r="H118" s="209">
        <f t="shared" si="43"/>
        <v>1.2406529130434785</v>
      </c>
    </row>
    <row r="119" spans="1:8" ht="16.5" customHeight="1">
      <c r="A119" s="232" t="s">
        <v>224</v>
      </c>
      <c r="B119" s="231">
        <f>[165]RODOAR!$D$26</f>
        <v>1180</v>
      </c>
      <c r="C119" s="207">
        <f t="shared" ref="C119:C124" si="58">100*B119/B$8</f>
        <v>112.21423409030393</v>
      </c>
      <c r="D119" s="214">
        <f t="shared" si="57"/>
        <v>2.6086956521739202</v>
      </c>
      <c r="E119" s="214">
        <f t="shared" ref="E119:E124" si="59">100*(B119/B$118-1)</f>
        <v>2.6086956521739202</v>
      </c>
      <c r="F119" s="215">
        <f t="shared" ref="F119:F124" si="60">(100*(B119/B107-1))</f>
        <v>6.9486404833836835</v>
      </c>
      <c r="G119" s="216">
        <f t="shared" ref="G119:G124" si="61">100*(B119/B95-1)</f>
        <v>8.9230769230769234</v>
      </c>
      <c r="H119" s="209">
        <f t="shared" si="43"/>
        <v>1.2091108898305087</v>
      </c>
    </row>
    <row r="120" spans="1:8" ht="16.5" customHeight="1">
      <c r="A120" s="232" t="s">
        <v>225</v>
      </c>
      <c r="B120" s="231">
        <f>[166]RODOAR!$D$26</f>
        <v>1180</v>
      </c>
      <c r="C120" s="207">
        <f t="shared" si="58"/>
        <v>112.21423409030393</v>
      </c>
      <c r="D120" s="214">
        <f t="shared" ref="D120:D125" si="62">100*(B120/B119-1)</f>
        <v>0</v>
      </c>
      <c r="E120" s="214">
        <f t="shared" si="59"/>
        <v>2.6086956521739202</v>
      </c>
      <c r="F120" s="215">
        <f t="shared" si="60"/>
        <v>6.9486404833836835</v>
      </c>
      <c r="G120" s="216">
        <f t="shared" si="61"/>
        <v>8.9230769230769234</v>
      </c>
      <c r="H120" s="209">
        <f t="shared" si="43"/>
        <v>1.2091108898305087</v>
      </c>
    </row>
    <row r="121" spans="1:8" ht="16.5" customHeight="1">
      <c r="A121" s="232" t="s">
        <v>226</v>
      </c>
      <c r="B121" s="231">
        <f>[167]RODOAR!$D$26</f>
        <v>1180</v>
      </c>
      <c r="C121" s="207">
        <f t="shared" si="58"/>
        <v>112.21423409030393</v>
      </c>
      <c r="D121" s="214">
        <f t="shared" si="62"/>
        <v>0</v>
      </c>
      <c r="E121" s="214">
        <f t="shared" si="59"/>
        <v>2.6086956521739202</v>
      </c>
      <c r="F121" s="215">
        <f t="shared" si="60"/>
        <v>6.9486404833836835</v>
      </c>
      <c r="G121" s="216">
        <f t="shared" si="61"/>
        <v>8.9230769230769234</v>
      </c>
      <c r="H121" s="209">
        <f t="shared" si="43"/>
        <v>1.2091108898305087</v>
      </c>
    </row>
    <row r="122" spans="1:8" ht="16.5" customHeight="1">
      <c r="A122" s="232" t="s">
        <v>227</v>
      </c>
      <c r="B122" s="231">
        <f>[168]RODOAR!$D$26</f>
        <v>1180</v>
      </c>
      <c r="C122" s="207">
        <f t="shared" si="58"/>
        <v>112.21423409030393</v>
      </c>
      <c r="D122" s="214">
        <f t="shared" si="62"/>
        <v>0</v>
      </c>
      <c r="E122" s="214">
        <f t="shared" si="59"/>
        <v>2.6086956521739202</v>
      </c>
      <c r="F122" s="215">
        <f t="shared" si="60"/>
        <v>6.9486404833836835</v>
      </c>
      <c r="G122" s="216">
        <f t="shared" si="61"/>
        <v>8.9230769230769234</v>
      </c>
      <c r="H122" s="209">
        <f t="shared" si="43"/>
        <v>1.2091108898305087</v>
      </c>
    </row>
    <row r="123" spans="1:8" ht="16.5" customHeight="1">
      <c r="A123" s="232" t="s">
        <v>228</v>
      </c>
      <c r="B123" s="231">
        <f>[169]RODOAR!$D$26</f>
        <v>1180</v>
      </c>
      <c r="C123" s="207">
        <f t="shared" si="58"/>
        <v>112.21423409030393</v>
      </c>
      <c r="D123" s="214">
        <f t="shared" si="62"/>
        <v>0</v>
      </c>
      <c r="E123" s="214">
        <f t="shared" si="59"/>
        <v>2.6086956521739202</v>
      </c>
      <c r="F123" s="215">
        <f t="shared" si="60"/>
        <v>2.6086956521739202</v>
      </c>
      <c r="G123" s="216">
        <f t="shared" si="61"/>
        <v>8.2568807339449499</v>
      </c>
      <c r="H123" s="209">
        <f t="shared" si="43"/>
        <v>1.2091108898305087</v>
      </c>
    </row>
    <row r="124" spans="1:8" ht="16.5" customHeight="1">
      <c r="A124" s="232" t="s">
        <v>229</v>
      </c>
      <c r="B124" s="231">
        <f>[170]RODOAR!$D$26</f>
        <v>1180</v>
      </c>
      <c r="C124" s="207">
        <f t="shared" si="58"/>
        <v>112.21423409030393</v>
      </c>
      <c r="D124" s="214">
        <f t="shared" si="62"/>
        <v>0</v>
      </c>
      <c r="E124" s="214">
        <f t="shared" si="59"/>
        <v>2.6086956521739202</v>
      </c>
      <c r="F124" s="215">
        <f t="shared" si="60"/>
        <v>2.6086956521739202</v>
      </c>
      <c r="G124" s="216">
        <f t="shared" si="61"/>
        <v>8.2568807339449499</v>
      </c>
      <c r="H124" s="209">
        <f t="shared" si="43"/>
        <v>1.2091108898305087</v>
      </c>
    </row>
    <row r="125" spans="1:8" ht="16.5" customHeight="1">
      <c r="A125" s="232" t="s">
        <v>230</v>
      </c>
      <c r="B125" s="231">
        <f>[171]RODOAR!$D$26</f>
        <v>1180</v>
      </c>
      <c r="C125" s="207">
        <f t="shared" ref="C125:C131" si="63">100*B125/B$8</f>
        <v>112.21423409030393</v>
      </c>
      <c r="D125" s="214">
        <f t="shared" si="62"/>
        <v>0</v>
      </c>
      <c r="E125" s="214">
        <f t="shared" ref="E125:E130" si="64">100*(B125/B$118-1)</f>
        <v>2.6086956521739202</v>
      </c>
      <c r="F125" s="215">
        <f t="shared" ref="F125:F130" si="65">(100*(B125/B113-1))</f>
        <v>2.6086956521739202</v>
      </c>
      <c r="G125" s="216">
        <f t="shared" ref="G125:G130" si="66">100*(B125/B101-1)</f>
        <v>8.2568807339449499</v>
      </c>
      <c r="H125" s="209">
        <f t="shared" si="43"/>
        <v>1.2091108898305087</v>
      </c>
    </row>
    <row r="126" spans="1:8" ht="16.5" customHeight="1">
      <c r="A126" s="232" t="s">
        <v>231</v>
      </c>
      <c r="B126" s="231">
        <f>[172]RODOAR!$D$26</f>
        <v>1180</v>
      </c>
      <c r="C126" s="207">
        <f t="shared" si="63"/>
        <v>112.21423409030393</v>
      </c>
      <c r="D126" s="214">
        <f t="shared" ref="D126:D131" si="67">100*(B126/B125-1)</f>
        <v>0</v>
      </c>
      <c r="E126" s="214">
        <f t="shared" si="64"/>
        <v>2.6086956521739202</v>
      </c>
      <c r="F126" s="215">
        <f t="shared" si="65"/>
        <v>2.6086956521739202</v>
      </c>
      <c r="G126" s="216">
        <f t="shared" si="66"/>
        <v>8.2568807339449499</v>
      </c>
      <c r="H126" s="209">
        <f t="shared" si="43"/>
        <v>1.2091108898305087</v>
      </c>
    </row>
    <row r="127" spans="1:8" ht="16.5" customHeight="1">
      <c r="A127" s="232" t="s">
        <v>232</v>
      </c>
      <c r="B127" s="231">
        <f>[173]RODOAR!$D$26</f>
        <v>1180</v>
      </c>
      <c r="C127" s="207">
        <f t="shared" si="63"/>
        <v>112.21423409030393</v>
      </c>
      <c r="D127" s="214">
        <f t="shared" si="67"/>
        <v>0</v>
      </c>
      <c r="E127" s="214">
        <f t="shared" si="64"/>
        <v>2.6086956521739202</v>
      </c>
      <c r="F127" s="215">
        <f t="shared" si="65"/>
        <v>2.6086956521739202</v>
      </c>
      <c r="G127" s="216">
        <f t="shared" si="66"/>
        <v>8.2568807339449499</v>
      </c>
      <c r="H127" s="209">
        <f t="shared" si="43"/>
        <v>1.2091108898305087</v>
      </c>
    </row>
    <row r="128" spans="1:8" ht="16.5" customHeight="1">
      <c r="A128" s="232" t="s">
        <v>233</v>
      </c>
      <c r="B128" s="231">
        <f>[174]RODOAR!$D$26</f>
        <v>1180</v>
      </c>
      <c r="C128" s="207">
        <f t="shared" si="63"/>
        <v>112.21423409030393</v>
      </c>
      <c r="D128" s="214">
        <f t="shared" si="67"/>
        <v>0</v>
      </c>
      <c r="E128" s="214">
        <f t="shared" si="64"/>
        <v>2.6086956521739202</v>
      </c>
      <c r="F128" s="215">
        <f t="shared" si="65"/>
        <v>2.6086956521739202</v>
      </c>
      <c r="G128" s="216">
        <f t="shared" si="66"/>
        <v>6.9486404833836835</v>
      </c>
      <c r="H128" s="209">
        <f t="shared" si="43"/>
        <v>1.2091108898305087</v>
      </c>
    </row>
    <row r="129" spans="1:8" ht="16.5" customHeight="1">
      <c r="A129" s="232" t="s">
        <v>234</v>
      </c>
      <c r="B129" s="233">
        <f>[175]RODOAR!$D$26</f>
        <v>1180</v>
      </c>
      <c r="C129" s="207">
        <f t="shared" si="63"/>
        <v>112.21423409030393</v>
      </c>
      <c r="D129" s="214">
        <f t="shared" si="67"/>
        <v>0</v>
      </c>
      <c r="E129" s="214">
        <f t="shared" si="64"/>
        <v>2.6086956521739202</v>
      </c>
      <c r="F129" s="215">
        <f t="shared" si="65"/>
        <v>2.6086956521739202</v>
      </c>
      <c r="G129" s="216">
        <f t="shared" si="66"/>
        <v>6.9486404833836835</v>
      </c>
      <c r="H129" s="209">
        <f t="shared" si="43"/>
        <v>1.2091108898305087</v>
      </c>
    </row>
    <row r="130" spans="1:8" ht="16.5" customHeight="1">
      <c r="A130" s="232" t="s">
        <v>235</v>
      </c>
      <c r="B130" s="233">
        <f>[176]RODOAR!$D$26</f>
        <v>1180</v>
      </c>
      <c r="C130" s="207">
        <f t="shared" si="63"/>
        <v>112.21423409030393</v>
      </c>
      <c r="D130" s="214">
        <f t="shared" si="67"/>
        <v>0</v>
      </c>
      <c r="E130" s="214">
        <f t="shared" si="64"/>
        <v>2.6086956521739202</v>
      </c>
      <c r="F130" s="215">
        <f t="shared" si="65"/>
        <v>2.6086956521739202</v>
      </c>
      <c r="G130" s="216">
        <f t="shared" si="66"/>
        <v>6.9486404833836835</v>
      </c>
      <c r="H130" s="209">
        <f t="shared" si="43"/>
        <v>1.2091108898305087</v>
      </c>
    </row>
    <row r="131" spans="1:8" ht="16.5" customHeight="1">
      <c r="A131" s="232" t="s">
        <v>236</v>
      </c>
      <c r="B131" s="233">
        <f>[177]RODOAR!$D$26</f>
        <v>1175</v>
      </c>
      <c r="C131" s="207">
        <f t="shared" si="63"/>
        <v>111.73875004754841</v>
      </c>
      <c r="D131" s="214">
        <f t="shared" si="67"/>
        <v>-0.4237288135593209</v>
      </c>
      <c r="E131" s="214">
        <f t="shared" ref="E131:E136" si="68">100*(B131/B$130-1)</f>
        <v>-0.4237288135593209</v>
      </c>
      <c r="F131" s="215">
        <f t="shared" ref="F131:F136" si="69">(100*(B131/B119-1))</f>
        <v>-0.4237288135593209</v>
      </c>
      <c r="G131" s="216">
        <f t="shared" ref="G131:G136" si="70">100*(B131/B107-1)</f>
        <v>6.4954682779456263</v>
      </c>
      <c r="H131" s="209">
        <f t="shared" si="43"/>
        <v>1.2142560425531919</v>
      </c>
    </row>
    <row r="132" spans="1:8" ht="16.5" customHeight="1">
      <c r="A132" s="232" t="s">
        <v>237</v>
      </c>
      <c r="B132" s="233">
        <f>[178]RODOAR!$D$26</f>
        <v>1175</v>
      </c>
      <c r="C132" s="207">
        <f t="shared" ref="C132:C137" si="71">100*B132/B$8</f>
        <v>111.73875004754841</v>
      </c>
      <c r="D132" s="214">
        <f t="shared" ref="D132:D137" si="72">100*(B132/B131-1)</f>
        <v>0</v>
      </c>
      <c r="E132" s="214">
        <f t="shared" si="68"/>
        <v>-0.4237288135593209</v>
      </c>
      <c r="F132" s="215">
        <f t="shared" si="69"/>
        <v>-0.4237288135593209</v>
      </c>
      <c r="G132" s="216">
        <f t="shared" si="70"/>
        <v>6.4954682779456263</v>
      </c>
      <c r="H132" s="209">
        <f t="shared" si="43"/>
        <v>1.2142560425531919</v>
      </c>
    </row>
    <row r="133" spans="1:8" ht="16.5" customHeight="1">
      <c r="A133" s="232" t="s">
        <v>238</v>
      </c>
      <c r="B133" s="233">
        <f>[179]RODOAR!$D$26</f>
        <v>1175</v>
      </c>
      <c r="C133" s="207">
        <f t="shared" si="71"/>
        <v>111.73875004754841</v>
      </c>
      <c r="D133" s="214">
        <f t="shared" si="72"/>
        <v>0</v>
      </c>
      <c r="E133" s="214">
        <f t="shared" si="68"/>
        <v>-0.4237288135593209</v>
      </c>
      <c r="F133" s="215">
        <f t="shared" si="69"/>
        <v>-0.4237288135593209</v>
      </c>
      <c r="G133" s="216">
        <f t="shared" si="70"/>
        <v>6.4954682779456263</v>
      </c>
      <c r="H133" s="209">
        <f t="shared" si="43"/>
        <v>1.2142560425531919</v>
      </c>
    </row>
    <row r="134" spans="1:8" ht="16.5" customHeight="1">
      <c r="A134" s="232" t="s">
        <v>239</v>
      </c>
      <c r="B134" s="233">
        <f>[180]RODOAR!$D$26</f>
        <v>1175</v>
      </c>
      <c r="C134" s="207">
        <f t="shared" si="71"/>
        <v>111.73875004754841</v>
      </c>
      <c r="D134" s="214">
        <f t="shared" si="72"/>
        <v>0</v>
      </c>
      <c r="E134" s="214">
        <f t="shared" si="68"/>
        <v>-0.4237288135593209</v>
      </c>
      <c r="F134" s="215">
        <f t="shared" si="69"/>
        <v>-0.4237288135593209</v>
      </c>
      <c r="G134" s="216">
        <f t="shared" si="70"/>
        <v>6.4954682779456263</v>
      </c>
      <c r="H134" s="209">
        <f t="shared" si="43"/>
        <v>1.2142560425531919</v>
      </c>
    </row>
    <row r="135" spans="1:8" ht="16.5" customHeight="1">
      <c r="A135" s="232" t="s">
        <v>240</v>
      </c>
      <c r="B135" s="233">
        <f>[181]RODOAR!$D$26</f>
        <v>1175</v>
      </c>
      <c r="C135" s="207">
        <f t="shared" si="71"/>
        <v>111.73875004754841</v>
      </c>
      <c r="D135" s="214">
        <f t="shared" si="72"/>
        <v>0</v>
      </c>
      <c r="E135" s="214">
        <f t="shared" si="68"/>
        <v>-0.4237288135593209</v>
      </c>
      <c r="F135" s="215">
        <f t="shared" si="69"/>
        <v>-0.4237288135593209</v>
      </c>
      <c r="G135" s="216">
        <f t="shared" si="70"/>
        <v>2.1739130434782705</v>
      </c>
      <c r="H135" s="209">
        <f t="shared" si="43"/>
        <v>1.2142560425531919</v>
      </c>
    </row>
    <row r="136" spans="1:8" ht="16.5" customHeight="1">
      <c r="A136" s="232" t="s">
        <v>241</v>
      </c>
      <c r="B136" s="233">
        <f>[182]RODOAR!$D$26</f>
        <v>1190</v>
      </c>
      <c r="C136" s="207">
        <f t="shared" si="71"/>
        <v>113.16520217581498</v>
      </c>
      <c r="D136" s="214">
        <f t="shared" si="72"/>
        <v>1.2765957446808418</v>
      </c>
      <c r="E136" s="214">
        <f t="shared" si="68"/>
        <v>0.84745762711864181</v>
      </c>
      <c r="F136" s="215">
        <f t="shared" si="69"/>
        <v>0.84745762711864181</v>
      </c>
      <c r="G136" s="216">
        <f t="shared" si="70"/>
        <v>3.4782608695652195</v>
      </c>
      <c r="H136" s="209">
        <f t="shared" si="43"/>
        <v>1.1989502941176473</v>
      </c>
    </row>
    <row r="137" spans="1:8" ht="16.5" customHeight="1">
      <c r="A137" s="232" t="s">
        <v>242</v>
      </c>
      <c r="B137" s="233">
        <f>[183]RODOAR!$D$26</f>
        <v>1190</v>
      </c>
      <c r="C137" s="207">
        <f t="shared" si="71"/>
        <v>113.16520217581498</v>
      </c>
      <c r="D137" s="214">
        <f t="shared" si="72"/>
        <v>0</v>
      </c>
      <c r="E137" s="214">
        <f t="shared" ref="E137:E142" si="73">100*(B137/B$130-1)</f>
        <v>0.84745762711864181</v>
      </c>
      <c r="F137" s="215">
        <f t="shared" ref="F137:F142" si="74">(100*(B137/B125-1))</f>
        <v>0.84745762711864181</v>
      </c>
      <c r="G137" s="216">
        <f t="shared" ref="G137:G142" si="75">100*(B137/B113-1)</f>
        <v>3.4782608695652195</v>
      </c>
      <c r="H137" s="209">
        <f t="shared" si="43"/>
        <v>1.1989502941176473</v>
      </c>
    </row>
    <row r="138" spans="1:8" ht="16.5" customHeight="1">
      <c r="A138" s="232" t="s">
        <v>243</v>
      </c>
      <c r="B138" s="233">
        <f>[184]RODOAR!$D$26</f>
        <v>1190</v>
      </c>
      <c r="C138" s="207">
        <f t="shared" ref="C138:C143" si="76">100*B138/B$8</f>
        <v>113.16520217581498</v>
      </c>
      <c r="D138" s="214">
        <f t="shared" ref="D138:D143" si="77">100*(B138/B137-1)</f>
        <v>0</v>
      </c>
      <c r="E138" s="214">
        <f t="shared" si="73"/>
        <v>0.84745762711864181</v>
      </c>
      <c r="F138" s="215">
        <f t="shared" si="74"/>
        <v>0.84745762711864181</v>
      </c>
      <c r="G138" s="216">
        <f t="shared" si="75"/>
        <v>3.4782608695652195</v>
      </c>
      <c r="H138" s="209">
        <f t="shared" si="43"/>
        <v>1.1989502941176473</v>
      </c>
    </row>
    <row r="139" spans="1:8" ht="16.5" customHeight="1">
      <c r="A139" s="232" t="s">
        <v>244</v>
      </c>
      <c r="B139" s="233">
        <f>[185]RODOAR!$D$26</f>
        <v>1190</v>
      </c>
      <c r="C139" s="207">
        <f t="shared" si="76"/>
        <v>113.16520217581498</v>
      </c>
      <c r="D139" s="214">
        <f t="shared" si="77"/>
        <v>0</v>
      </c>
      <c r="E139" s="214">
        <f t="shared" si="73"/>
        <v>0.84745762711864181</v>
      </c>
      <c r="F139" s="215">
        <f t="shared" si="74"/>
        <v>0.84745762711864181</v>
      </c>
      <c r="G139" s="216">
        <f t="shared" si="75"/>
        <v>3.4782608695652195</v>
      </c>
      <c r="H139" s="209">
        <f t="shared" si="43"/>
        <v>1.1989502941176473</v>
      </c>
    </row>
    <row r="140" spans="1:8" ht="16.5" customHeight="1">
      <c r="A140" s="232" t="s">
        <v>245</v>
      </c>
      <c r="B140" s="233">
        <f>[186]RODOAR!$D$26</f>
        <v>1190</v>
      </c>
      <c r="C140" s="207">
        <f t="shared" si="76"/>
        <v>113.16520217581498</v>
      </c>
      <c r="D140" s="214">
        <f t="shared" si="77"/>
        <v>0</v>
      </c>
      <c r="E140" s="214">
        <f t="shared" si="73"/>
        <v>0.84745762711864181</v>
      </c>
      <c r="F140" s="215">
        <f t="shared" si="74"/>
        <v>0.84745762711864181</v>
      </c>
      <c r="G140" s="216">
        <f t="shared" si="75"/>
        <v>3.4782608695652195</v>
      </c>
      <c r="H140" s="209">
        <f t="shared" si="43"/>
        <v>1.1989502941176473</v>
      </c>
    </row>
    <row r="141" spans="1:8" ht="16.5" customHeight="1">
      <c r="A141" s="232" t="s">
        <v>246</v>
      </c>
      <c r="B141" s="233">
        <f>[187]RODOAR!$D$26</f>
        <v>1190</v>
      </c>
      <c r="C141" s="207">
        <f t="shared" si="76"/>
        <v>113.16520217581498</v>
      </c>
      <c r="D141" s="214">
        <f t="shared" si="77"/>
        <v>0</v>
      </c>
      <c r="E141" s="214">
        <f t="shared" si="73"/>
        <v>0.84745762711864181</v>
      </c>
      <c r="F141" s="215">
        <f t="shared" si="74"/>
        <v>0.84745762711864181</v>
      </c>
      <c r="G141" s="216">
        <f t="shared" si="75"/>
        <v>3.4782608695652195</v>
      </c>
      <c r="H141" s="209">
        <f t="shared" si="43"/>
        <v>1.1989502941176473</v>
      </c>
    </row>
    <row r="142" spans="1:8" ht="16.5" customHeight="1">
      <c r="A142" s="232" t="s">
        <v>247</v>
      </c>
      <c r="B142" s="233">
        <f>[188]RODOAR!$D$26</f>
        <v>1190</v>
      </c>
      <c r="C142" s="207">
        <f t="shared" si="76"/>
        <v>113.16520217581498</v>
      </c>
      <c r="D142" s="214">
        <f t="shared" si="77"/>
        <v>0</v>
      </c>
      <c r="E142" s="214">
        <f t="shared" si="73"/>
        <v>0.84745762711864181</v>
      </c>
      <c r="F142" s="215">
        <f t="shared" si="74"/>
        <v>0.84745762711864181</v>
      </c>
      <c r="G142" s="216">
        <f t="shared" si="75"/>
        <v>3.4782608695652195</v>
      </c>
      <c r="H142" s="209">
        <f t="shared" si="43"/>
        <v>1.1989502941176473</v>
      </c>
    </row>
    <row r="143" spans="1:8" ht="16.5" customHeight="1">
      <c r="A143" s="232" t="s">
        <v>248</v>
      </c>
      <c r="B143" s="233">
        <f>[189]RODOAR!$D$26</f>
        <v>1240</v>
      </c>
      <c r="C143" s="207">
        <f t="shared" si="76"/>
        <v>117.92004260337023</v>
      </c>
      <c r="D143" s="214">
        <f t="shared" si="77"/>
        <v>4.2016806722689148</v>
      </c>
      <c r="E143" s="214">
        <f t="shared" ref="E143:E148" si="78">100*(B143/B$142-1)</f>
        <v>4.2016806722689148</v>
      </c>
      <c r="F143" s="215">
        <f t="shared" ref="F143:F148" si="79">(100*(B143/B131-1))</f>
        <v>5.5319148936170182</v>
      </c>
      <c r="G143" s="216">
        <f t="shared" ref="G143:G148" si="80">100*(B143/B119-1)</f>
        <v>5.0847457627118731</v>
      </c>
      <c r="H143" s="209">
        <f t="shared" si="43"/>
        <v>1.1506055241935487</v>
      </c>
    </row>
    <row r="144" spans="1:8" ht="16.5" customHeight="1">
      <c r="A144" s="234" t="s">
        <v>249</v>
      </c>
      <c r="B144" s="233">
        <f>[190]RODOAR!$D$26</f>
        <v>1240</v>
      </c>
      <c r="C144" s="207">
        <f t="shared" ref="C144:C150" si="81">100*B144/B$8</f>
        <v>117.92004260337023</v>
      </c>
      <c r="D144" s="214">
        <f t="shared" ref="D144:D149" si="82">100*(B144/B143-1)</f>
        <v>0</v>
      </c>
      <c r="E144" s="214">
        <f t="shared" si="78"/>
        <v>4.2016806722689148</v>
      </c>
      <c r="F144" s="215">
        <f t="shared" si="79"/>
        <v>5.5319148936170182</v>
      </c>
      <c r="G144" s="216">
        <f t="shared" si="80"/>
        <v>5.0847457627118731</v>
      </c>
      <c r="H144" s="209">
        <f t="shared" si="43"/>
        <v>1.1506055241935487</v>
      </c>
    </row>
    <row r="145" spans="1:8" ht="16.5" customHeight="1">
      <c r="A145" s="234" t="s">
        <v>250</v>
      </c>
      <c r="B145" s="233">
        <f>[191]RODOAR!$D$26</f>
        <v>1240</v>
      </c>
      <c r="C145" s="207">
        <f t="shared" si="81"/>
        <v>117.92004260337023</v>
      </c>
      <c r="D145" s="214">
        <f t="shared" si="82"/>
        <v>0</v>
      </c>
      <c r="E145" s="214">
        <f t="shared" si="78"/>
        <v>4.2016806722689148</v>
      </c>
      <c r="F145" s="215">
        <f t="shared" si="79"/>
        <v>5.5319148936170182</v>
      </c>
      <c r="G145" s="216">
        <f t="shared" si="80"/>
        <v>5.0847457627118731</v>
      </c>
      <c r="H145" s="209">
        <f t="shared" si="43"/>
        <v>1.1506055241935487</v>
      </c>
    </row>
    <row r="146" spans="1:8" ht="16.5" customHeight="1">
      <c r="A146" s="234" t="s">
        <v>252</v>
      </c>
      <c r="B146" s="233">
        <f>[192]RODOAR!$D$26</f>
        <v>1240</v>
      </c>
      <c r="C146" s="207">
        <f t="shared" si="81"/>
        <v>117.92004260337023</v>
      </c>
      <c r="D146" s="214">
        <f t="shared" si="82"/>
        <v>0</v>
      </c>
      <c r="E146" s="214">
        <f t="shared" si="78"/>
        <v>4.2016806722689148</v>
      </c>
      <c r="F146" s="215">
        <f t="shared" si="79"/>
        <v>5.5319148936170182</v>
      </c>
      <c r="G146" s="216">
        <f t="shared" si="80"/>
        <v>5.0847457627118731</v>
      </c>
      <c r="H146" s="209">
        <f t="shared" si="43"/>
        <v>1.1506055241935487</v>
      </c>
    </row>
    <row r="147" spans="1:8" ht="16.5" customHeight="1">
      <c r="A147" s="234" t="s">
        <v>253</v>
      </c>
      <c r="B147" s="233">
        <f>[193]RODOAR!$D$26</f>
        <v>1240</v>
      </c>
      <c r="C147" s="207">
        <f t="shared" si="81"/>
        <v>117.92004260337023</v>
      </c>
      <c r="D147" s="214">
        <f t="shared" si="82"/>
        <v>0</v>
      </c>
      <c r="E147" s="214">
        <f t="shared" si="78"/>
        <v>4.2016806722689148</v>
      </c>
      <c r="F147" s="215">
        <f t="shared" si="79"/>
        <v>5.5319148936170182</v>
      </c>
      <c r="G147" s="216">
        <f t="shared" si="80"/>
        <v>5.0847457627118731</v>
      </c>
      <c r="H147" s="209">
        <f t="shared" si="43"/>
        <v>1.1506055241935487</v>
      </c>
    </row>
    <row r="148" spans="1:8" ht="16.5" customHeight="1">
      <c r="A148" s="234" t="s">
        <v>254</v>
      </c>
      <c r="B148" s="233">
        <f>[194]RODOAR!$D$26</f>
        <v>1240</v>
      </c>
      <c r="C148" s="207">
        <f t="shared" si="81"/>
        <v>117.92004260337023</v>
      </c>
      <c r="D148" s="214">
        <f t="shared" si="82"/>
        <v>0</v>
      </c>
      <c r="E148" s="214">
        <f t="shared" si="78"/>
        <v>4.2016806722689148</v>
      </c>
      <c r="F148" s="215">
        <f t="shared" si="79"/>
        <v>4.2016806722689148</v>
      </c>
      <c r="G148" s="216">
        <f t="shared" si="80"/>
        <v>5.0847457627118731</v>
      </c>
      <c r="H148" s="209">
        <f t="shared" si="43"/>
        <v>1.1506055241935487</v>
      </c>
    </row>
    <row r="149" spans="1:8" ht="16.5" customHeight="1">
      <c r="A149" s="234" t="s">
        <v>255</v>
      </c>
      <c r="B149" s="233">
        <f>[195]RODOAR!$D$26</f>
        <v>1240</v>
      </c>
      <c r="C149" s="207">
        <f t="shared" si="81"/>
        <v>117.92004260337023</v>
      </c>
      <c r="D149" s="214">
        <f t="shared" si="82"/>
        <v>0</v>
      </c>
      <c r="E149" s="214">
        <f t="shared" ref="E149:E154" si="83">100*(B149/B$142-1)</f>
        <v>4.2016806722689148</v>
      </c>
      <c r="F149" s="215">
        <f t="shared" ref="F149:F154" si="84">(100*(B149/B137-1))</f>
        <v>4.2016806722689148</v>
      </c>
      <c r="G149" s="216">
        <f t="shared" ref="G149:G154" si="85">100*(B149/B125-1)</f>
        <v>5.0847457627118731</v>
      </c>
      <c r="H149" s="209">
        <f t="shared" si="43"/>
        <v>1.1506055241935487</v>
      </c>
    </row>
    <row r="150" spans="1:8" ht="16.5" customHeight="1">
      <c r="A150" s="234" t="str">
        <f>Semirreboque!A151</f>
        <v>AGOSTO|15</v>
      </c>
      <c r="B150" s="233">
        <f>[196]RODOAR!$D$26</f>
        <v>1240</v>
      </c>
      <c r="C150" s="207">
        <f t="shared" si="81"/>
        <v>117.92004260337023</v>
      </c>
      <c r="D150" s="214">
        <f t="shared" ref="D150:D155" si="86">100*(B150/B149-1)</f>
        <v>0</v>
      </c>
      <c r="E150" s="214">
        <f t="shared" si="83"/>
        <v>4.2016806722689148</v>
      </c>
      <c r="F150" s="215">
        <f t="shared" si="84"/>
        <v>4.2016806722689148</v>
      </c>
      <c r="G150" s="216">
        <f t="shared" si="85"/>
        <v>5.0847457627118731</v>
      </c>
      <c r="H150" s="209">
        <f t="shared" si="43"/>
        <v>1.1506055241935487</v>
      </c>
    </row>
    <row r="151" spans="1:8" ht="16.5" customHeight="1">
      <c r="A151" s="234" t="str">
        <f>Semirreboque!A152</f>
        <v>SETEMBRO|15</v>
      </c>
      <c r="B151" s="233">
        <f>[197]RODOAR!$D$26</f>
        <v>1240</v>
      </c>
      <c r="C151" s="207">
        <f t="shared" ref="C151:C157" si="87">100*B151/B$8</f>
        <v>117.92004260337023</v>
      </c>
      <c r="D151" s="214">
        <f t="shared" si="86"/>
        <v>0</v>
      </c>
      <c r="E151" s="214">
        <f t="shared" si="83"/>
        <v>4.2016806722689148</v>
      </c>
      <c r="F151" s="215">
        <f t="shared" si="84"/>
        <v>4.2016806722689148</v>
      </c>
      <c r="G151" s="216">
        <f t="shared" si="85"/>
        <v>5.0847457627118731</v>
      </c>
      <c r="H151" s="209">
        <f t="shared" si="43"/>
        <v>1.1506055241935487</v>
      </c>
    </row>
    <row r="152" spans="1:8" ht="16.5" customHeight="1">
      <c r="A152" s="234" t="str">
        <f>Semirreboque!A153</f>
        <v>OUTUBRO|15</v>
      </c>
      <c r="B152" s="233">
        <f>[198]RODOAR!$D$26</f>
        <v>1240</v>
      </c>
      <c r="C152" s="207">
        <f t="shared" si="87"/>
        <v>117.92004260337023</v>
      </c>
      <c r="D152" s="214">
        <f t="shared" si="86"/>
        <v>0</v>
      </c>
      <c r="E152" s="214">
        <f t="shared" si="83"/>
        <v>4.2016806722689148</v>
      </c>
      <c r="F152" s="215">
        <f t="shared" si="84"/>
        <v>4.2016806722689148</v>
      </c>
      <c r="G152" s="216">
        <f t="shared" si="85"/>
        <v>5.0847457627118731</v>
      </c>
      <c r="H152" s="209">
        <f t="shared" si="43"/>
        <v>1.1506055241935487</v>
      </c>
    </row>
    <row r="153" spans="1:8" ht="16.5" customHeight="1">
      <c r="A153" s="234" t="str">
        <f>Semirreboque!A154</f>
        <v>NOVEMBRO|15</v>
      </c>
      <c r="B153" s="233">
        <f>[199]RODOAR!$D$26</f>
        <v>1240</v>
      </c>
      <c r="C153" s="207">
        <f t="shared" si="87"/>
        <v>117.92004260337023</v>
      </c>
      <c r="D153" s="214">
        <f t="shared" si="86"/>
        <v>0</v>
      </c>
      <c r="E153" s="214">
        <f t="shared" si="83"/>
        <v>4.2016806722689148</v>
      </c>
      <c r="F153" s="215">
        <f t="shared" si="84"/>
        <v>4.2016806722689148</v>
      </c>
      <c r="G153" s="216">
        <f t="shared" si="85"/>
        <v>5.0847457627118731</v>
      </c>
      <c r="H153" s="209">
        <f t="shared" si="43"/>
        <v>1.1506055241935487</v>
      </c>
    </row>
    <row r="154" spans="1:8" ht="16.5" customHeight="1">
      <c r="A154" s="234" t="str">
        <f>Semirreboque!A155</f>
        <v>DEZEMBRO|15</v>
      </c>
      <c r="B154" s="233">
        <f>[200]RODOAR!$D$26</f>
        <v>1240</v>
      </c>
      <c r="C154" s="207">
        <f t="shared" si="87"/>
        <v>117.92004260337023</v>
      </c>
      <c r="D154" s="214">
        <f t="shared" si="86"/>
        <v>0</v>
      </c>
      <c r="E154" s="214">
        <f t="shared" si="83"/>
        <v>4.2016806722689148</v>
      </c>
      <c r="F154" s="215">
        <f t="shared" si="84"/>
        <v>4.2016806722689148</v>
      </c>
      <c r="G154" s="216">
        <f t="shared" si="85"/>
        <v>5.0847457627118731</v>
      </c>
      <c r="H154" s="209">
        <f t="shared" si="43"/>
        <v>1.1506055241935487</v>
      </c>
    </row>
    <row r="155" spans="1:8" ht="16.5" customHeight="1">
      <c r="A155" s="234" t="str">
        <f>Semirreboque!A156</f>
        <v>JANEIRO|16</v>
      </c>
      <c r="B155" s="233">
        <f>[201]RODOAR!$D$26</f>
        <v>1240</v>
      </c>
      <c r="C155" s="207">
        <f t="shared" si="87"/>
        <v>117.92004260337023</v>
      </c>
      <c r="D155" s="214">
        <f t="shared" si="86"/>
        <v>0</v>
      </c>
      <c r="E155" s="214">
        <f t="shared" ref="E155:E160" si="88">100*(B155/B$154-1)</f>
        <v>0</v>
      </c>
      <c r="F155" s="215">
        <f t="shared" ref="F155:F160" si="89">(100*(B155/B143-1))</f>
        <v>0</v>
      </c>
      <c r="G155" s="216">
        <f t="shared" ref="G155:G160" si="90">100*(B155/B131-1)</f>
        <v>5.5319148936170182</v>
      </c>
      <c r="H155" s="209">
        <f t="shared" si="43"/>
        <v>1.1506055241935487</v>
      </c>
    </row>
    <row r="156" spans="1:8" ht="16.5" customHeight="1">
      <c r="A156" s="234" t="str">
        <f>Semirreboque!A157</f>
        <v>FEVEREIRO|16</v>
      </c>
      <c r="B156" s="233">
        <f>[202]RODOAR!$D$26</f>
        <v>1240</v>
      </c>
      <c r="C156" s="207">
        <f t="shared" si="87"/>
        <v>117.92004260337023</v>
      </c>
      <c r="D156" s="214">
        <f t="shared" ref="D156:D161" si="91">100*(B156/B155-1)</f>
        <v>0</v>
      </c>
      <c r="E156" s="214">
        <f t="shared" si="88"/>
        <v>0</v>
      </c>
      <c r="F156" s="215">
        <f t="shared" si="89"/>
        <v>0</v>
      </c>
      <c r="G156" s="216">
        <f t="shared" si="90"/>
        <v>5.5319148936170182</v>
      </c>
      <c r="H156" s="209">
        <f t="shared" si="43"/>
        <v>1.1506055241935487</v>
      </c>
    </row>
    <row r="157" spans="1:8" ht="16.5" customHeight="1">
      <c r="A157" s="234" t="str">
        <f>Semirreboque!A158</f>
        <v>MARÇO|16</v>
      </c>
      <c r="B157" s="233">
        <f>[203]RODOAR!$D$26</f>
        <v>1240</v>
      </c>
      <c r="C157" s="207">
        <f t="shared" si="87"/>
        <v>117.92004260337023</v>
      </c>
      <c r="D157" s="214">
        <f t="shared" si="91"/>
        <v>0</v>
      </c>
      <c r="E157" s="214">
        <f t="shared" si="88"/>
        <v>0</v>
      </c>
      <c r="F157" s="215">
        <f t="shared" si="89"/>
        <v>0</v>
      </c>
      <c r="G157" s="216">
        <f t="shared" si="90"/>
        <v>5.5319148936170182</v>
      </c>
      <c r="H157" s="209">
        <f t="shared" si="43"/>
        <v>1.1506055241935487</v>
      </c>
    </row>
    <row r="158" spans="1:8" ht="16.5" customHeight="1">
      <c r="A158" s="234" t="str">
        <f>Semirreboque!A159</f>
        <v>ABRIL|16</v>
      </c>
      <c r="B158" s="233">
        <f>[204]RODOAR!$D$26</f>
        <v>1245</v>
      </c>
      <c r="C158" s="207">
        <f t="shared" ref="C158:C164" si="92">100*B158/B$8</f>
        <v>118.39552664612576</v>
      </c>
      <c r="D158" s="214">
        <f t="shared" si="91"/>
        <v>0.40322580645162365</v>
      </c>
      <c r="E158" s="214">
        <f t="shared" si="88"/>
        <v>0.40322580645162365</v>
      </c>
      <c r="F158" s="215">
        <f t="shared" si="89"/>
        <v>0.40322580645162365</v>
      </c>
      <c r="G158" s="216">
        <f t="shared" si="90"/>
        <v>5.9574468085106469</v>
      </c>
      <c r="H158" s="209">
        <f t="shared" si="43"/>
        <v>1.1459846184738958</v>
      </c>
    </row>
    <row r="159" spans="1:8" ht="16.5" customHeight="1">
      <c r="A159" s="234" t="str">
        <f>Semirreboque!A160</f>
        <v>MAIO|16</v>
      </c>
      <c r="B159" s="233">
        <f>[205]RODOAR!$D$26</f>
        <v>1245</v>
      </c>
      <c r="C159" s="207">
        <f t="shared" si="92"/>
        <v>118.39552664612576</v>
      </c>
      <c r="D159" s="214">
        <f t="shared" si="91"/>
        <v>0</v>
      </c>
      <c r="E159" s="214">
        <f t="shared" si="88"/>
        <v>0.40322580645162365</v>
      </c>
      <c r="F159" s="215">
        <f t="shared" si="89"/>
        <v>0.40322580645162365</v>
      </c>
      <c r="G159" s="216">
        <f t="shared" si="90"/>
        <v>5.9574468085106469</v>
      </c>
      <c r="H159" s="209">
        <f t="shared" si="43"/>
        <v>1.1459846184738958</v>
      </c>
    </row>
    <row r="160" spans="1:8" ht="16.5" customHeight="1">
      <c r="A160" s="234" t="str">
        <f>Semirreboque!A161</f>
        <v>JUNHO|16</v>
      </c>
      <c r="B160" s="233">
        <f>[206]RODOAR!$D$26</f>
        <v>1245</v>
      </c>
      <c r="C160" s="207">
        <f t="shared" si="92"/>
        <v>118.39552664612576</v>
      </c>
      <c r="D160" s="214">
        <f t="shared" si="91"/>
        <v>0</v>
      </c>
      <c r="E160" s="214">
        <f t="shared" si="88"/>
        <v>0.40322580645162365</v>
      </c>
      <c r="F160" s="215">
        <f t="shared" si="89"/>
        <v>0.40322580645162365</v>
      </c>
      <c r="G160" s="216">
        <f t="shared" si="90"/>
        <v>4.6218487394958041</v>
      </c>
      <c r="H160" s="209">
        <f t="shared" si="43"/>
        <v>1.1459846184738958</v>
      </c>
    </row>
    <row r="161" spans="1:8" ht="16.5" customHeight="1">
      <c r="A161" s="234" t="str">
        <f>Semirreboque!A162</f>
        <v>JULHO|16</v>
      </c>
      <c r="B161" s="233">
        <f>[207]RODOAR!$D$26</f>
        <v>1245</v>
      </c>
      <c r="C161" s="207">
        <f t="shared" si="92"/>
        <v>118.39552664612576</v>
      </c>
      <c r="D161" s="214">
        <f t="shared" si="91"/>
        <v>0</v>
      </c>
      <c r="E161" s="214">
        <f t="shared" ref="E161" si="93">100*(B161/B$154-1)</f>
        <v>0.40322580645162365</v>
      </c>
      <c r="F161" s="215">
        <f t="shared" ref="F161" si="94">(100*(B161/B149-1))</f>
        <v>0.40322580645162365</v>
      </c>
      <c r="G161" s="216">
        <f t="shared" ref="G161" si="95">100*(B161/B137-1)</f>
        <v>4.6218487394958041</v>
      </c>
      <c r="H161" s="209">
        <f t="shared" ref="H161:H211" si="96">+B$211/B161</f>
        <v>1.1459846184738958</v>
      </c>
    </row>
    <row r="162" spans="1:8" ht="16.5" customHeight="1">
      <c r="A162" s="234" t="str">
        <f>Semirreboque!A163</f>
        <v>AGOSTO|16</v>
      </c>
      <c r="B162" s="233">
        <f>[208]RODOAR!$D$26</f>
        <v>1245</v>
      </c>
      <c r="C162" s="207">
        <f t="shared" si="92"/>
        <v>118.39552664612576</v>
      </c>
      <c r="D162" s="214">
        <f t="shared" ref="D162" si="97">100*(B162/B161-1)</f>
        <v>0</v>
      </c>
      <c r="E162" s="214">
        <f t="shared" ref="E162" si="98">100*(B162/B$154-1)</f>
        <v>0.40322580645162365</v>
      </c>
      <c r="F162" s="215">
        <f t="shared" ref="F162" si="99">(100*(B162/B150-1))</f>
        <v>0.40322580645162365</v>
      </c>
      <c r="G162" s="216">
        <f t="shared" ref="G162" si="100">100*(B162/B138-1)</f>
        <v>4.6218487394958041</v>
      </c>
      <c r="H162" s="209">
        <f t="shared" si="96"/>
        <v>1.1459846184738958</v>
      </c>
    </row>
    <row r="163" spans="1:8" ht="16.5" customHeight="1">
      <c r="A163" s="234" t="str">
        <f>Semirreboque!A164</f>
        <v>SETEMBRO|16</v>
      </c>
      <c r="B163" s="233">
        <f>[209]RODOAR!$D$26</f>
        <v>1245</v>
      </c>
      <c r="C163" s="207">
        <f t="shared" si="92"/>
        <v>118.39552664612576</v>
      </c>
      <c r="D163" s="214">
        <f t="shared" ref="D163" si="101">100*(B163/B162-1)</f>
        <v>0</v>
      </c>
      <c r="E163" s="214">
        <f t="shared" ref="E163" si="102">100*(B163/B$154-1)</f>
        <v>0.40322580645162365</v>
      </c>
      <c r="F163" s="215">
        <f t="shared" ref="F163" si="103">(100*(B163/B151-1))</f>
        <v>0.40322580645162365</v>
      </c>
      <c r="G163" s="216">
        <f t="shared" ref="G163" si="104">100*(B163/B139-1)</f>
        <v>4.6218487394958041</v>
      </c>
      <c r="H163" s="209">
        <f t="shared" si="96"/>
        <v>1.1459846184738958</v>
      </c>
    </row>
    <row r="164" spans="1:8" ht="16.5" customHeight="1">
      <c r="A164" s="234" t="str">
        <f>Semirreboque!A165</f>
        <v>OUTUBRO|16</v>
      </c>
      <c r="B164" s="233">
        <f>[210]RODOAR!$D$26</f>
        <v>1245</v>
      </c>
      <c r="C164" s="207">
        <f t="shared" si="92"/>
        <v>118.39552664612576</v>
      </c>
      <c r="D164" s="214">
        <f t="shared" ref="D164" si="105">100*(B164/B163-1)</f>
        <v>0</v>
      </c>
      <c r="E164" s="214">
        <f t="shared" ref="E164" si="106">100*(B164/B$154-1)</f>
        <v>0.40322580645162365</v>
      </c>
      <c r="F164" s="215">
        <f t="shared" ref="F164" si="107">(100*(B164/B152-1))</f>
        <v>0.40322580645162365</v>
      </c>
      <c r="G164" s="216">
        <f t="shared" ref="G164" si="108">100*(B164/B140-1)</f>
        <v>4.6218487394958041</v>
      </c>
      <c r="H164" s="209">
        <f t="shared" si="96"/>
        <v>1.1459846184738958</v>
      </c>
    </row>
    <row r="165" spans="1:8" ht="16.5" customHeight="1">
      <c r="A165" s="234" t="str">
        <f>Semirreboque!A166</f>
        <v>NOVEMBRO|16</v>
      </c>
      <c r="B165" s="233">
        <f>[211]RODOAR!$D$26</f>
        <v>1245</v>
      </c>
      <c r="C165" s="207">
        <f t="shared" ref="C165" si="109">100*B165/B$8</f>
        <v>118.39552664612576</v>
      </c>
      <c r="D165" s="214">
        <f t="shared" ref="D165" si="110">100*(B165/B164-1)</f>
        <v>0</v>
      </c>
      <c r="E165" s="214">
        <f t="shared" ref="E165" si="111">100*(B165/B$154-1)</f>
        <v>0.40322580645162365</v>
      </c>
      <c r="F165" s="215">
        <f t="shared" ref="F165" si="112">(100*(B165/B153-1))</f>
        <v>0.40322580645162365</v>
      </c>
      <c r="G165" s="216">
        <f t="shared" ref="G165" si="113">100*(B165/B141-1)</f>
        <v>4.6218487394958041</v>
      </c>
      <c r="H165" s="209">
        <f t="shared" si="96"/>
        <v>1.1459846184738958</v>
      </c>
    </row>
    <row r="166" spans="1:8" ht="16.5" customHeight="1">
      <c r="A166" s="234" t="str">
        <f>Semirreboque!A167</f>
        <v>DEZEMBRO|16</v>
      </c>
      <c r="B166" s="233">
        <f>[212]RODOAR!$D$26</f>
        <v>1245</v>
      </c>
      <c r="C166" s="207">
        <f t="shared" ref="C166" si="114">100*B166/B$8</f>
        <v>118.39552664612576</v>
      </c>
      <c r="D166" s="214">
        <f t="shared" ref="D166" si="115">100*(B166/B165-1)</f>
        <v>0</v>
      </c>
      <c r="E166" s="214">
        <f t="shared" ref="E166" si="116">100*(B166/B$154-1)</f>
        <v>0.40322580645162365</v>
      </c>
      <c r="F166" s="215">
        <f t="shared" ref="F166" si="117">(100*(B166/B154-1))</f>
        <v>0.40322580645162365</v>
      </c>
      <c r="G166" s="216">
        <f t="shared" ref="G166" si="118">100*(B166/B142-1)</f>
        <v>4.6218487394958041</v>
      </c>
      <c r="H166" s="209">
        <f t="shared" si="96"/>
        <v>1.1459846184738958</v>
      </c>
    </row>
    <row r="167" spans="1:8" ht="16.5" customHeight="1">
      <c r="A167" s="234" t="str">
        <f>Semirreboque!A168</f>
        <v>JANEIRO|17</v>
      </c>
      <c r="B167" s="233">
        <f>[213]RODOAR!$D$26</f>
        <v>1245</v>
      </c>
      <c r="C167" s="207">
        <f t="shared" ref="C167" si="119">100*B167/B$8</f>
        <v>118.39552664612576</v>
      </c>
      <c r="D167" s="214">
        <f t="shared" ref="D167" si="120">100*(B167/B166-1)</f>
        <v>0</v>
      </c>
      <c r="E167" s="214">
        <f t="shared" ref="E167:E172" si="121">100*(B167/B$166-1)</f>
        <v>0</v>
      </c>
      <c r="F167" s="215">
        <f t="shared" ref="F167" si="122">(100*(B167/B155-1))</f>
        <v>0.40322580645162365</v>
      </c>
      <c r="G167" s="216">
        <f t="shared" ref="G167" si="123">100*(B167/B143-1)</f>
        <v>0.40322580645162365</v>
      </c>
      <c r="H167" s="209">
        <f t="shared" si="96"/>
        <v>1.1459846184738958</v>
      </c>
    </row>
    <row r="168" spans="1:8" ht="16.5" customHeight="1">
      <c r="A168" s="234" t="str">
        <f>Semirreboque!A169</f>
        <v>FEVEREIRO|17</v>
      </c>
      <c r="B168" s="233">
        <f>[214]RODOAR!$D$26</f>
        <v>1245</v>
      </c>
      <c r="C168" s="207">
        <f t="shared" ref="C168" si="124">100*B168/B$8</f>
        <v>118.39552664612576</v>
      </c>
      <c r="D168" s="214">
        <f t="shared" ref="D168" si="125">100*(B168/B167-1)</f>
        <v>0</v>
      </c>
      <c r="E168" s="214">
        <f t="shared" si="121"/>
        <v>0</v>
      </c>
      <c r="F168" s="215">
        <f t="shared" ref="F168" si="126">(100*(B168/B156-1))</f>
        <v>0.40322580645162365</v>
      </c>
      <c r="G168" s="216">
        <f t="shared" ref="G168" si="127">100*(B168/B144-1)</f>
        <v>0.40322580645162365</v>
      </c>
      <c r="H168" s="209">
        <f t="shared" si="96"/>
        <v>1.1459846184738958</v>
      </c>
    </row>
    <row r="169" spans="1:8" ht="16.5" customHeight="1">
      <c r="A169" s="234" t="str">
        <f>Semirreboque!A170</f>
        <v>MARÇO|17</v>
      </c>
      <c r="B169" s="233">
        <f>[215]RODOAR!$D$26</f>
        <v>1269.9000000000001</v>
      </c>
      <c r="C169" s="207">
        <f t="shared" ref="C169" si="128">100*B169/B$8</f>
        <v>120.7634371790483</v>
      </c>
      <c r="D169" s="214">
        <f t="shared" ref="D169" si="129">100*(B169/B168-1)</f>
        <v>2.0000000000000018</v>
      </c>
      <c r="E169" s="214">
        <f t="shared" si="121"/>
        <v>2.0000000000000018</v>
      </c>
      <c r="F169" s="215">
        <f t="shared" ref="F169" si="130">(100*(B169/B157-1))</f>
        <v>2.4112903225806503</v>
      </c>
      <c r="G169" s="216">
        <f t="shared" ref="G169" si="131">100*(B169/B145-1)</f>
        <v>2.4112903225806503</v>
      </c>
      <c r="H169" s="209">
        <f t="shared" si="96"/>
        <v>1.1235143318371528</v>
      </c>
    </row>
    <row r="170" spans="1:8" ht="16.5" customHeight="1">
      <c r="A170" s="234" t="str">
        <f>Semirreboque!A171</f>
        <v>ABRIL|17</v>
      </c>
      <c r="B170" s="233">
        <f>[216]RODOAR!$D$26</f>
        <v>1269.9000000000001</v>
      </c>
      <c r="C170" s="207">
        <f t="shared" ref="C170" si="132">100*B170/B$8</f>
        <v>120.7634371790483</v>
      </c>
      <c r="D170" s="214">
        <f t="shared" ref="D170" si="133">100*(B170/B169-1)</f>
        <v>0</v>
      </c>
      <c r="E170" s="214">
        <f t="shared" si="121"/>
        <v>2.0000000000000018</v>
      </c>
      <c r="F170" s="215">
        <f t="shared" ref="F170" si="134">(100*(B170/B158-1))</f>
        <v>2.0000000000000018</v>
      </c>
      <c r="G170" s="216">
        <f t="shared" ref="G170" si="135">100*(B170/B146-1)</f>
        <v>2.4112903225806503</v>
      </c>
      <c r="H170" s="209">
        <f t="shared" si="96"/>
        <v>1.1235143318371528</v>
      </c>
    </row>
    <row r="171" spans="1:8" ht="16.5" customHeight="1">
      <c r="A171" s="234" t="str">
        <f>Semirreboque!A172</f>
        <v>MAIO|17</v>
      </c>
      <c r="B171" s="233">
        <f>[217]RODOAR!$D$26</f>
        <v>1269.9000000000001</v>
      </c>
      <c r="C171" s="207">
        <f t="shared" ref="C171" si="136">100*B171/B$8</f>
        <v>120.7634371790483</v>
      </c>
      <c r="D171" s="214">
        <f t="shared" ref="D171" si="137">100*(B171/B170-1)</f>
        <v>0</v>
      </c>
      <c r="E171" s="214">
        <f t="shared" si="121"/>
        <v>2.0000000000000018</v>
      </c>
      <c r="F171" s="215">
        <f t="shared" ref="F171" si="138">(100*(B171/B159-1))</f>
        <v>2.0000000000000018</v>
      </c>
      <c r="G171" s="216">
        <f t="shared" ref="G171" si="139">100*(B171/B147-1)</f>
        <v>2.4112903225806503</v>
      </c>
      <c r="H171" s="209">
        <f t="shared" si="96"/>
        <v>1.1235143318371528</v>
      </c>
    </row>
    <row r="172" spans="1:8" ht="16.5" customHeight="1">
      <c r="A172" s="234" t="str">
        <f>Semirreboque!A173</f>
        <v>JUNHO|17</v>
      </c>
      <c r="B172" s="233">
        <f>[218]RODOAR!$D$26</f>
        <v>1269.9000000000001</v>
      </c>
      <c r="C172" s="207">
        <f t="shared" ref="C172" si="140">100*B172/B$8</f>
        <v>120.7634371790483</v>
      </c>
      <c r="D172" s="214">
        <f t="shared" ref="D172" si="141">100*(B172/B171-1)</f>
        <v>0</v>
      </c>
      <c r="E172" s="214">
        <f t="shared" si="121"/>
        <v>2.0000000000000018</v>
      </c>
      <c r="F172" s="215">
        <f t="shared" ref="F172" si="142">(100*(B172/B160-1))</f>
        <v>2.0000000000000018</v>
      </c>
      <c r="G172" s="216">
        <f t="shared" ref="G172" si="143">100*(B172/B148-1)</f>
        <v>2.4112903225806503</v>
      </c>
      <c r="H172" s="209">
        <f t="shared" si="96"/>
        <v>1.1235143318371528</v>
      </c>
    </row>
    <row r="173" spans="1:8" ht="16.5" customHeight="1">
      <c r="A173" s="234" t="str">
        <f>Semirreboque!A174</f>
        <v>JULHO|17</v>
      </c>
      <c r="B173" s="233">
        <f>[219]RODOAR!$D$26</f>
        <v>1269.9000000000001</v>
      </c>
      <c r="C173" s="207">
        <f t="shared" ref="C173" si="144">100*B173/B$8</f>
        <v>120.7634371790483</v>
      </c>
      <c r="D173" s="214">
        <f t="shared" ref="D173" si="145">100*(B173/B172-1)</f>
        <v>0</v>
      </c>
      <c r="E173" s="214">
        <f t="shared" ref="E173" si="146">100*(B173/B$166-1)</f>
        <v>2.0000000000000018</v>
      </c>
      <c r="F173" s="215">
        <f t="shared" ref="F173" si="147">(100*(B173/B161-1))</f>
        <v>2.0000000000000018</v>
      </c>
      <c r="G173" s="216">
        <f t="shared" ref="G173" si="148">100*(B173/B149-1)</f>
        <v>2.4112903225806503</v>
      </c>
      <c r="H173" s="209">
        <f t="shared" si="96"/>
        <v>1.1235143318371528</v>
      </c>
    </row>
    <row r="174" spans="1:8" ht="16.5" customHeight="1">
      <c r="A174" s="234" t="str">
        <f>Semirreboque!A175</f>
        <v>AGOSTO|17</v>
      </c>
      <c r="B174" s="233">
        <f>[220]RODOAR!$D$26</f>
        <v>1294.9000000000001</v>
      </c>
      <c r="C174" s="207">
        <f t="shared" ref="C174" si="149">100*B174/B$8</f>
        <v>123.14085739282592</v>
      </c>
      <c r="D174" s="214">
        <f t="shared" ref="D174" si="150">100*(B174/B173-1)</f>
        <v>1.9686589495235829</v>
      </c>
      <c r="E174" s="214">
        <f t="shared" ref="E174" si="151">100*(B174/B$166-1)</f>
        <v>4.0080321285140608</v>
      </c>
      <c r="F174" s="215">
        <f t="shared" ref="F174" si="152">(100*(B174/B162-1))</f>
        <v>4.0080321285140608</v>
      </c>
      <c r="G174" s="216">
        <f t="shared" ref="G174" si="153">100*(B174/B150-1)</f>
        <v>4.4274193548387242</v>
      </c>
      <c r="H174" s="209">
        <f t="shared" si="96"/>
        <v>1.1018231909799987</v>
      </c>
    </row>
    <row r="175" spans="1:8" ht="16.5" customHeight="1">
      <c r="A175" s="234" t="str">
        <f>Semirreboque!A176</f>
        <v>SETEMBRO|17</v>
      </c>
      <c r="B175" s="233">
        <f>[221]RODOAR!$D$26</f>
        <v>1294.9000000000001</v>
      </c>
      <c r="C175" s="207">
        <f t="shared" ref="C175" si="154">100*B175/B$8</f>
        <v>123.14085739282592</v>
      </c>
      <c r="D175" s="214">
        <f t="shared" ref="D175" si="155">100*(B175/B174-1)</f>
        <v>0</v>
      </c>
      <c r="E175" s="214">
        <f t="shared" ref="E175" si="156">100*(B175/B$166-1)</f>
        <v>4.0080321285140608</v>
      </c>
      <c r="F175" s="215">
        <f t="shared" ref="F175" si="157">(100*(B175/B163-1))</f>
        <v>4.0080321285140608</v>
      </c>
      <c r="G175" s="216">
        <f t="shared" ref="G175" si="158">100*(B175/B151-1)</f>
        <v>4.4274193548387242</v>
      </c>
      <c r="H175" s="209">
        <f t="shared" si="96"/>
        <v>1.1018231909799987</v>
      </c>
    </row>
    <row r="176" spans="1:8" ht="16.5" customHeight="1">
      <c r="A176" s="234" t="str">
        <f>Semirreboque!A177</f>
        <v>OUTUBRO|17</v>
      </c>
      <c r="B176" s="233">
        <f>[222]RODOAR!$D$26</f>
        <v>1294.9000000000001</v>
      </c>
      <c r="C176" s="207">
        <f t="shared" ref="C176" si="159">100*B176/B$8</f>
        <v>123.14085739282592</v>
      </c>
      <c r="D176" s="214">
        <f t="shared" ref="D176" si="160">100*(B176/B175-1)</f>
        <v>0</v>
      </c>
      <c r="E176" s="214">
        <f t="shared" ref="E176" si="161">100*(B176/B$166-1)</f>
        <v>4.0080321285140608</v>
      </c>
      <c r="F176" s="215">
        <f t="shared" ref="F176" si="162">(100*(B176/B164-1))</f>
        <v>4.0080321285140608</v>
      </c>
      <c r="G176" s="216">
        <f t="shared" ref="G176" si="163">100*(B176/B152-1)</f>
        <v>4.4274193548387242</v>
      </c>
      <c r="H176" s="209">
        <f t="shared" si="96"/>
        <v>1.1018231909799987</v>
      </c>
    </row>
    <row r="177" spans="1:8" ht="16.5" customHeight="1">
      <c r="A177" s="234" t="str">
        <f>Semirreboque!A178</f>
        <v>NOVEMBRO|17</v>
      </c>
      <c r="B177" s="233">
        <f>[223]RODOAR!$D$26</f>
        <v>1324.9</v>
      </c>
      <c r="C177" s="207">
        <f t="shared" ref="C177" si="164">100*B177/B$8</f>
        <v>125.99376164935906</v>
      </c>
      <c r="D177" s="214">
        <f t="shared" ref="D177" si="165">100*(B177/B176-1)</f>
        <v>2.3167812186269288</v>
      </c>
      <c r="E177" s="214">
        <f t="shared" ref="E177" si="166">100*(B177/B$166-1)</f>
        <v>6.417670682730936</v>
      </c>
      <c r="F177" s="215">
        <f t="shared" ref="F177" si="167">(100*(B177/B165-1))</f>
        <v>6.417670682730936</v>
      </c>
      <c r="G177" s="216">
        <f t="shared" ref="G177" si="168">100*(B177/B153-1)</f>
        <v>6.8467741935483994</v>
      </c>
      <c r="H177" s="209">
        <f t="shared" si="96"/>
        <v>1.0768743678768211</v>
      </c>
    </row>
    <row r="178" spans="1:8" ht="16.5" customHeight="1">
      <c r="A178" s="234" t="str">
        <f>Semirreboque!A179</f>
        <v>DEZEMBRO|17</v>
      </c>
      <c r="B178" s="233">
        <f>[224]RODOAR!$D$26</f>
        <v>1324.9</v>
      </c>
      <c r="C178" s="207">
        <f t="shared" ref="C178" si="169">100*B178/B$8</f>
        <v>125.99376164935906</v>
      </c>
      <c r="D178" s="214">
        <f t="shared" ref="D178" si="170">100*(B178/B177-1)</f>
        <v>0</v>
      </c>
      <c r="E178" s="214">
        <f t="shared" ref="E178" si="171">100*(B178/B$166-1)</f>
        <v>6.417670682730936</v>
      </c>
      <c r="F178" s="215">
        <f t="shared" ref="F178" si="172">(100*(B178/B166-1))</f>
        <v>6.417670682730936</v>
      </c>
      <c r="G178" s="216">
        <f t="shared" ref="G178" si="173">100*(B178/B154-1)</f>
        <v>6.8467741935483994</v>
      </c>
      <c r="H178" s="209">
        <f t="shared" si="96"/>
        <v>1.0768743678768211</v>
      </c>
    </row>
    <row r="179" spans="1:8" ht="16.5" customHeight="1">
      <c r="A179" s="234" t="str">
        <f>Semirreboque!A180</f>
        <v>JANEIRO|18</v>
      </c>
      <c r="B179" s="233">
        <f>[225]RODOAR!$D$26</f>
        <v>1324.9</v>
      </c>
      <c r="C179" s="207">
        <f t="shared" ref="C179" si="174">100*B179/B$8</f>
        <v>125.99376164935906</v>
      </c>
      <c r="D179" s="214">
        <f t="shared" ref="D179" si="175">100*(B179/B178-1)</f>
        <v>0</v>
      </c>
      <c r="E179" s="214">
        <f t="shared" ref="E179:E184" si="176">100*(B179/B$178-1)</f>
        <v>0</v>
      </c>
      <c r="F179" s="215">
        <f t="shared" ref="F179" si="177">(100*(B179/B167-1))</f>
        <v>6.417670682730936</v>
      </c>
      <c r="G179" s="216">
        <f t="shared" ref="G179" si="178">100*(B179/B155-1)</f>
        <v>6.8467741935483994</v>
      </c>
      <c r="H179" s="209">
        <f t="shared" si="96"/>
        <v>1.0768743678768211</v>
      </c>
    </row>
    <row r="180" spans="1:8" ht="16.5" customHeight="1">
      <c r="A180" s="234" t="str">
        <f>Semirreboque!A181</f>
        <v>FEVEREIRO|18</v>
      </c>
      <c r="B180" s="233">
        <f>[226]RODOAR!$D$26</f>
        <v>1324.9</v>
      </c>
      <c r="C180" s="207">
        <f t="shared" ref="C180" si="179">100*B180/B$8</f>
        <v>125.99376164935906</v>
      </c>
      <c r="D180" s="214">
        <f t="shared" ref="D180" si="180">100*(B180/B179-1)</f>
        <v>0</v>
      </c>
      <c r="E180" s="214">
        <f t="shared" si="176"/>
        <v>0</v>
      </c>
      <c r="F180" s="215">
        <f t="shared" ref="F180" si="181">(100*(B180/B168-1))</f>
        <v>6.417670682730936</v>
      </c>
      <c r="G180" s="216">
        <f t="shared" ref="G180" si="182">100*(B180/B156-1)</f>
        <v>6.8467741935483994</v>
      </c>
      <c r="H180" s="209">
        <f t="shared" si="96"/>
        <v>1.0768743678768211</v>
      </c>
    </row>
    <row r="181" spans="1:8" ht="16.5" customHeight="1">
      <c r="A181" s="234" t="str">
        <f>Semirreboque!A182</f>
        <v>MARÇO|18</v>
      </c>
      <c r="B181" s="233">
        <f>[227]RODOAR!$D$26</f>
        <v>1324.9</v>
      </c>
      <c r="C181" s="207">
        <f t="shared" ref="C181" si="183">100*B181/B$8</f>
        <v>125.99376164935906</v>
      </c>
      <c r="D181" s="214">
        <f t="shared" ref="D181" si="184">100*(B181/B180-1)</f>
        <v>0</v>
      </c>
      <c r="E181" s="214">
        <f t="shared" si="176"/>
        <v>0</v>
      </c>
      <c r="F181" s="215">
        <f t="shared" ref="F181" si="185">(100*(B181/B169-1))</f>
        <v>4.3310496889518824</v>
      </c>
      <c r="G181" s="216">
        <f t="shared" ref="G181" si="186">100*(B181/B157-1)</f>
        <v>6.8467741935483994</v>
      </c>
      <c r="H181" s="209">
        <f t="shared" si="96"/>
        <v>1.0768743678768211</v>
      </c>
    </row>
    <row r="182" spans="1:8" ht="16.5" customHeight="1">
      <c r="A182" s="234" t="str">
        <f>Semirreboque!A183</f>
        <v>ABRIL|18</v>
      </c>
      <c r="B182" s="233">
        <f>[228]RODOAR!$D$26</f>
        <v>1339.9</v>
      </c>
      <c r="C182" s="207">
        <f t="shared" ref="C182" si="187">100*B182/B$8</f>
        <v>127.42021377762563</v>
      </c>
      <c r="D182" s="214">
        <f t="shared" ref="D182" si="188">100*(B182/B181-1)</f>
        <v>1.1321609178051251</v>
      </c>
      <c r="E182" s="214">
        <f t="shared" si="176"/>
        <v>1.1321609178051251</v>
      </c>
      <c r="F182" s="215">
        <f t="shared" ref="F182" si="189">(100*(B182/B170-1))</f>
        <v>5.5122450586660321</v>
      </c>
      <c r="G182" s="216">
        <f t="shared" ref="G182" si="190">100*(B182/B158-1)</f>
        <v>7.6224899598393625</v>
      </c>
      <c r="H182" s="209">
        <f t="shared" si="96"/>
        <v>1.0648189043958507</v>
      </c>
    </row>
    <row r="183" spans="1:8" ht="16.5" customHeight="1">
      <c r="A183" s="234" t="str">
        <f>Semirreboque!A184</f>
        <v>MAIO|18</v>
      </c>
      <c r="B183" s="233">
        <f>[229]RODOAR!$D$26</f>
        <v>1339.9</v>
      </c>
      <c r="C183" s="207">
        <f t="shared" ref="C183" si="191">100*B183/B$8</f>
        <v>127.42021377762563</v>
      </c>
      <c r="D183" s="214">
        <f t="shared" ref="D183" si="192">100*(B183/B182-1)</f>
        <v>0</v>
      </c>
      <c r="E183" s="214">
        <f t="shared" si="176"/>
        <v>1.1321609178051251</v>
      </c>
      <c r="F183" s="215">
        <f t="shared" ref="F183" si="193">(100*(B183/B171-1))</f>
        <v>5.5122450586660321</v>
      </c>
      <c r="G183" s="216">
        <f t="shared" ref="G183" si="194">100*(B183/B159-1)</f>
        <v>7.6224899598393625</v>
      </c>
      <c r="H183" s="209">
        <f t="shared" si="96"/>
        <v>1.0648189043958507</v>
      </c>
    </row>
    <row r="184" spans="1:8" ht="16.5" customHeight="1">
      <c r="A184" s="234" t="str">
        <f>Semirreboque!A185</f>
        <v>JUNHO|18</v>
      </c>
      <c r="B184" s="233">
        <f>[230]RODOAR!$D$26</f>
        <v>1339.9</v>
      </c>
      <c r="C184" s="207">
        <f t="shared" ref="C184" si="195">100*B184/B$8</f>
        <v>127.42021377762563</v>
      </c>
      <c r="D184" s="214">
        <f t="shared" ref="D184" si="196">100*(B184/B183-1)</f>
        <v>0</v>
      </c>
      <c r="E184" s="214">
        <f t="shared" si="176"/>
        <v>1.1321609178051251</v>
      </c>
      <c r="F184" s="215">
        <f t="shared" ref="F184" si="197">(100*(B184/B172-1))</f>
        <v>5.5122450586660321</v>
      </c>
      <c r="G184" s="216">
        <f t="shared" ref="G184" si="198">100*(B184/B160-1)</f>
        <v>7.6224899598393625</v>
      </c>
      <c r="H184" s="209">
        <f t="shared" si="96"/>
        <v>1.0648189043958507</v>
      </c>
    </row>
    <row r="185" spans="1:8" ht="16.5" customHeight="1">
      <c r="A185" s="234" t="str">
        <f>Semirreboque!A186</f>
        <v>JULHO|18</v>
      </c>
      <c r="B185" s="233">
        <f>[231]RODOAR!$D$26</f>
        <v>1339.9</v>
      </c>
      <c r="C185" s="207">
        <f t="shared" ref="C185" si="199">100*B185/B$8</f>
        <v>127.42021377762563</v>
      </c>
      <c r="D185" s="214">
        <f t="shared" ref="D185" si="200">100*(B185/B184-1)</f>
        <v>0</v>
      </c>
      <c r="E185" s="214">
        <f t="shared" ref="E185" si="201">100*(B185/B$178-1)</f>
        <v>1.1321609178051251</v>
      </c>
      <c r="F185" s="215">
        <f t="shared" ref="F185" si="202">(100*(B185/B173-1))</f>
        <v>5.5122450586660321</v>
      </c>
      <c r="G185" s="216">
        <f t="shared" ref="G185" si="203">100*(B185/B161-1)</f>
        <v>7.6224899598393625</v>
      </c>
      <c r="H185" s="209">
        <f t="shared" si="96"/>
        <v>1.0648189043958507</v>
      </c>
    </row>
    <row r="186" spans="1:8" ht="16.5" customHeight="1">
      <c r="A186" s="234" t="str">
        <f>Semirreboque!A187</f>
        <v>AGOSTO|18</v>
      </c>
      <c r="B186" s="233">
        <f>[232]RODOAR!$D$26</f>
        <v>1339.9</v>
      </c>
      <c r="C186" s="207">
        <f t="shared" ref="C186" si="204">100*B186/B$8</f>
        <v>127.42021377762563</v>
      </c>
      <c r="D186" s="214">
        <f t="shared" ref="D186" si="205">100*(B186/B185-1)</f>
        <v>0</v>
      </c>
      <c r="E186" s="214">
        <f t="shared" ref="E186" si="206">100*(B186/B$178-1)</f>
        <v>1.1321609178051251</v>
      </c>
      <c r="F186" s="215">
        <f t="shared" ref="F186" si="207">(100*(B186/B174-1))</f>
        <v>3.4751718279403709</v>
      </c>
      <c r="G186" s="216">
        <f t="shared" ref="G186" si="208">100*(B186/B162-1)</f>
        <v>7.6224899598393625</v>
      </c>
      <c r="H186" s="209">
        <f t="shared" si="96"/>
        <v>1.0648189043958507</v>
      </c>
    </row>
    <row r="187" spans="1:8" ht="16.5" customHeight="1">
      <c r="A187" s="234" t="str">
        <f>Semirreboque!A188</f>
        <v>SETEMBRO|18</v>
      </c>
      <c r="B187" s="233">
        <f>[233]RODOAR!$D$26</f>
        <v>1339.9</v>
      </c>
      <c r="C187" s="207">
        <f t="shared" ref="C187" si="209">100*B187/B$8</f>
        <v>127.42021377762563</v>
      </c>
      <c r="D187" s="214">
        <f t="shared" ref="D187" si="210">100*(B187/B186-1)</f>
        <v>0</v>
      </c>
      <c r="E187" s="214">
        <f t="shared" ref="E187" si="211">100*(B187/B$178-1)</f>
        <v>1.1321609178051251</v>
      </c>
      <c r="F187" s="215">
        <f t="shared" ref="F187" si="212">(100*(B187/B175-1))</f>
        <v>3.4751718279403709</v>
      </c>
      <c r="G187" s="216">
        <f t="shared" ref="G187" si="213">100*(B187/B163-1)</f>
        <v>7.6224899598393625</v>
      </c>
      <c r="H187" s="209">
        <f t="shared" si="96"/>
        <v>1.0648189043958507</v>
      </c>
    </row>
    <row r="188" spans="1:8" ht="16.5" customHeight="1">
      <c r="A188" s="234" t="str">
        <f>Semirreboque!A189</f>
        <v>OUTUBRO|18</v>
      </c>
      <c r="B188" s="233">
        <f>[234]RODOAR!$D$26</f>
        <v>1339.9</v>
      </c>
      <c r="C188" s="207">
        <f t="shared" ref="C188" si="214">100*B188/B$8</f>
        <v>127.42021377762563</v>
      </c>
      <c r="D188" s="214">
        <f t="shared" ref="D188" si="215">100*(B188/B187-1)</f>
        <v>0</v>
      </c>
      <c r="E188" s="214">
        <f t="shared" ref="E188" si="216">100*(B188/B$178-1)</f>
        <v>1.1321609178051251</v>
      </c>
      <c r="F188" s="215">
        <f t="shared" ref="F188" si="217">(100*(B188/B176-1))</f>
        <v>3.4751718279403709</v>
      </c>
      <c r="G188" s="216">
        <f t="shared" ref="G188" si="218">100*(B188/B164-1)</f>
        <v>7.6224899598393625</v>
      </c>
      <c r="H188" s="209">
        <f t="shared" si="96"/>
        <v>1.0648189043958507</v>
      </c>
    </row>
    <row r="189" spans="1:8" ht="16.5" customHeight="1">
      <c r="A189" s="234" t="str">
        <f>Semirreboque!A190</f>
        <v>NOVEMBRO|18</v>
      </c>
      <c r="B189" s="233">
        <f>[235]RODOAR!$D$26</f>
        <v>1339.9</v>
      </c>
      <c r="C189" s="207">
        <f t="shared" ref="C189" si="219">100*B189/B$8</f>
        <v>127.42021377762563</v>
      </c>
      <c r="D189" s="214">
        <f t="shared" ref="D189" si="220">100*(B189/B188-1)</f>
        <v>0</v>
      </c>
      <c r="E189" s="214">
        <f t="shared" ref="E189" si="221">100*(B189/B$178-1)</f>
        <v>1.1321609178051251</v>
      </c>
      <c r="F189" s="215">
        <f t="shared" ref="F189" si="222">(100*(B189/B177-1))</f>
        <v>1.1321609178051251</v>
      </c>
      <c r="G189" s="216">
        <f t="shared" ref="G189" si="223">100*(B189/B165-1)</f>
        <v>7.6224899598393625</v>
      </c>
      <c r="H189" s="209">
        <f t="shared" si="96"/>
        <v>1.0648189043958507</v>
      </c>
    </row>
    <row r="190" spans="1:8" ht="16.5" customHeight="1">
      <c r="A190" s="234" t="str">
        <f>Semirreboque!A191</f>
        <v>DEZEMBRO|18</v>
      </c>
      <c r="B190" s="233">
        <f>[236]RODOAR!$D$26</f>
        <v>1339.9</v>
      </c>
      <c r="C190" s="207">
        <f t="shared" ref="C190" si="224">100*B190/B$8</f>
        <v>127.42021377762563</v>
      </c>
      <c r="D190" s="214">
        <f t="shared" ref="D190" si="225">100*(B190/B189-1)</f>
        <v>0</v>
      </c>
      <c r="E190" s="214">
        <f t="shared" ref="E190" si="226">100*(B190/B$178-1)</f>
        <v>1.1321609178051251</v>
      </c>
      <c r="F190" s="215">
        <f t="shared" ref="F190" si="227">(100*(B190/B178-1))</f>
        <v>1.1321609178051251</v>
      </c>
      <c r="G190" s="216">
        <f t="shared" ref="G190" si="228">100*(B190/B166-1)</f>
        <v>7.6224899598393625</v>
      </c>
      <c r="H190" s="209">
        <f t="shared" si="96"/>
        <v>1.0648189043958507</v>
      </c>
    </row>
    <row r="191" spans="1:8" ht="16.5" customHeight="1">
      <c r="A191" s="234" t="str">
        <f>Semirreboque!A192</f>
        <v>JANEIRO|19</v>
      </c>
      <c r="B191" s="233">
        <f>[237]RODOAR!$D$26</f>
        <v>1339.9</v>
      </c>
      <c r="C191" s="207">
        <f t="shared" ref="C191" si="229">100*B191/B$8</f>
        <v>127.42021377762563</v>
      </c>
      <c r="D191" s="214">
        <f t="shared" ref="D191" si="230">100*(B191/B190-1)</f>
        <v>0</v>
      </c>
      <c r="E191" s="214">
        <f t="shared" ref="E191:E196" si="231">100*(B191/B$190-1)</f>
        <v>0</v>
      </c>
      <c r="F191" s="215">
        <f t="shared" ref="F191" si="232">(100*(B191/B179-1))</f>
        <v>1.1321609178051251</v>
      </c>
      <c r="G191" s="216">
        <f t="shared" ref="G191" si="233">100*(B191/B167-1)</f>
        <v>7.6224899598393625</v>
      </c>
      <c r="H191" s="209">
        <f t="shared" si="96"/>
        <v>1.0648189043958507</v>
      </c>
    </row>
    <row r="192" spans="1:8" ht="16.5" customHeight="1">
      <c r="A192" s="273" t="str">
        <f>Semirreboque!A193</f>
        <v>FEVEREIRO|19</v>
      </c>
      <c r="B192" s="274">
        <f>[238]RODOAR!$D$26</f>
        <v>1369.9</v>
      </c>
      <c r="C192" s="275">
        <f t="shared" ref="C192" si="234">100*B192/B$8</f>
        <v>130.27311803415878</v>
      </c>
      <c r="D192" s="283">
        <f t="shared" ref="D192" si="235">100*(B192/B191-1)</f>
        <v>2.238973057690874</v>
      </c>
      <c r="E192" s="283">
        <f t="shared" si="231"/>
        <v>2.238973057690874</v>
      </c>
      <c r="F192" s="284">
        <f t="shared" ref="F192" si="236">(100*(B192/B180-1))</f>
        <v>3.396482753415353</v>
      </c>
      <c r="G192" s="285">
        <f t="shared" ref="G192" si="237">100*(B192/B168-1)</f>
        <v>10.032128514056238</v>
      </c>
      <c r="H192" s="209">
        <f t="shared" si="96"/>
        <v>1.0415000000000001</v>
      </c>
    </row>
    <row r="193" spans="1:8" ht="16.5" customHeight="1">
      <c r="A193" s="196" t="str">
        <f>Semirreboque!A194</f>
        <v>MARÇO|19</v>
      </c>
      <c r="B193" s="280">
        <f>[239]RODOAR!$D$26</f>
        <v>1369.9</v>
      </c>
      <c r="C193" s="197">
        <f t="shared" ref="C193" si="238">100*B193/B$8</f>
        <v>130.27311803415878</v>
      </c>
      <c r="D193" s="198">
        <f t="shared" ref="D193" si="239">100*(B193/B192-1)</f>
        <v>0</v>
      </c>
      <c r="E193" s="198">
        <f t="shared" si="231"/>
        <v>2.238973057690874</v>
      </c>
      <c r="F193" s="199">
        <f t="shared" ref="F193" si="240">(100*(B193/B181-1))</f>
        <v>3.396482753415353</v>
      </c>
      <c r="G193" s="200">
        <f t="shared" ref="G193" si="241">100*(B193/B169-1)</f>
        <v>7.8746357980943316</v>
      </c>
      <c r="H193" s="209">
        <f t="shared" si="96"/>
        <v>1.0415000000000001</v>
      </c>
    </row>
    <row r="194" spans="1:8" ht="16.5" customHeight="1">
      <c r="A194" s="196" t="str">
        <f>Semirreboque!A195</f>
        <v>ABRIL|19</v>
      </c>
      <c r="B194" s="280">
        <f>[240]RODOAR!$D$26</f>
        <v>1369.9</v>
      </c>
      <c r="C194" s="197">
        <f t="shared" ref="C194" si="242">100*B194/B$8</f>
        <v>130.27311803415878</v>
      </c>
      <c r="D194" s="198">
        <f t="shared" ref="D194" si="243">100*(B194/B193-1)</f>
        <v>0</v>
      </c>
      <c r="E194" s="198">
        <f t="shared" si="231"/>
        <v>2.238973057690874</v>
      </c>
      <c r="F194" s="199">
        <f t="shared" ref="F194" si="244">(100*(B194/B182-1))</f>
        <v>2.238973057690874</v>
      </c>
      <c r="G194" s="200">
        <f t="shared" ref="G194" si="245">100*(B194/B170-1)</f>
        <v>7.8746357980943316</v>
      </c>
      <c r="H194" s="209">
        <f t="shared" si="96"/>
        <v>1.0415000000000001</v>
      </c>
    </row>
    <row r="195" spans="1:8" ht="16.5" customHeight="1">
      <c r="A195" s="196" t="str">
        <f>Semirreboque!A196</f>
        <v>MAIO|19</v>
      </c>
      <c r="B195" s="280">
        <f>[241]RODOAR!$D$26</f>
        <v>1369.9</v>
      </c>
      <c r="C195" s="197">
        <f t="shared" ref="C195" si="246">100*B195/B$8</f>
        <v>130.27311803415878</v>
      </c>
      <c r="D195" s="198">
        <f t="shared" ref="D195" si="247">100*(B195/B194-1)</f>
        <v>0</v>
      </c>
      <c r="E195" s="198">
        <f t="shared" si="231"/>
        <v>2.238973057690874</v>
      </c>
      <c r="F195" s="199">
        <f t="shared" ref="F195" si="248">(100*(B195/B183-1))</f>
        <v>2.238973057690874</v>
      </c>
      <c r="G195" s="200">
        <f t="shared" ref="G195" si="249">100*(B195/B171-1)</f>
        <v>7.8746357980943316</v>
      </c>
      <c r="H195" s="209">
        <f t="shared" si="96"/>
        <v>1.0415000000000001</v>
      </c>
    </row>
    <row r="196" spans="1:8" ht="16.5" customHeight="1">
      <c r="A196" s="196" t="str">
        <f>Semirreboque!A197</f>
        <v>JUNHO|19</v>
      </c>
      <c r="B196" s="280">
        <f>[242]RODOAR!$D$26</f>
        <v>1369.9</v>
      </c>
      <c r="C196" s="197">
        <f t="shared" ref="C196" si="250">100*B196/B$8</f>
        <v>130.27311803415878</v>
      </c>
      <c r="D196" s="198">
        <f t="shared" ref="D196" si="251">100*(B196/B195-1)</f>
        <v>0</v>
      </c>
      <c r="E196" s="198">
        <f t="shared" si="231"/>
        <v>2.238973057690874</v>
      </c>
      <c r="F196" s="199">
        <f t="shared" ref="F196" si="252">(100*(B196/B184-1))</f>
        <v>2.238973057690874</v>
      </c>
      <c r="G196" s="200">
        <f t="shared" ref="G196" si="253">100*(B196/B172-1)</f>
        <v>7.8746357980943316</v>
      </c>
      <c r="H196" s="209">
        <f t="shared" si="96"/>
        <v>1.0415000000000001</v>
      </c>
    </row>
    <row r="197" spans="1:8" ht="16.5" customHeight="1">
      <c r="A197" s="196" t="str">
        <f>Semirreboque!A198</f>
        <v>JULHO|19</v>
      </c>
      <c r="B197" s="280">
        <f>[243]RODOAR!$D$26</f>
        <v>1369.9</v>
      </c>
      <c r="C197" s="197">
        <f t="shared" ref="C197" si="254">100*B197/B$8</f>
        <v>130.27311803415878</v>
      </c>
      <c r="D197" s="198">
        <f t="shared" ref="D197" si="255">100*(B197/B196-1)</f>
        <v>0</v>
      </c>
      <c r="E197" s="198">
        <f t="shared" ref="E197" si="256">100*(B197/B$190-1)</f>
        <v>2.238973057690874</v>
      </c>
      <c r="F197" s="199">
        <f t="shared" ref="F197" si="257">(100*(B197/B185-1))</f>
        <v>2.238973057690874</v>
      </c>
      <c r="G197" s="200">
        <f t="shared" ref="G197" si="258">100*(B197/B173-1)</f>
        <v>7.8746357980943316</v>
      </c>
      <c r="H197" s="209">
        <f t="shared" si="96"/>
        <v>1.0415000000000001</v>
      </c>
    </row>
    <row r="198" spans="1:8" ht="16.5" customHeight="1">
      <c r="A198" s="196" t="str">
        <f>Semirreboque!A199</f>
        <v>AGOSTO|19</v>
      </c>
      <c r="B198" s="280">
        <f>[244]RODOAR!$D$26</f>
        <v>1369.9</v>
      </c>
      <c r="C198" s="197">
        <f t="shared" ref="C198:C203" si="259">100*B198/B$8</f>
        <v>130.27311803415878</v>
      </c>
      <c r="D198" s="198">
        <f t="shared" ref="D198:D203" si="260">100*(B198/B197-1)</f>
        <v>0</v>
      </c>
      <c r="E198" s="198">
        <f>100*(B198/B$190-1)</f>
        <v>2.238973057690874</v>
      </c>
      <c r="F198" s="199">
        <f t="shared" ref="F198:F203" si="261">(100*(B198/B186-1))</f>
        <v>2.238973057690874</v>
      </c>
      <c r="G198" s="200">
        <f t="shared" ref="G198:G203" si="262">100*(B198/B174-1)</f>
        <v>5.7919530465672997</v>
      </c>
      <c r="H198" s="209">
        <f t="shared" si="96"/>
        <v>1.0415000000000001</v>
      </c>
    </row>
    <row r="199" spans="1:8" ht="16.5" customHeight="1">
      <c r="A199" s="196" t="str">
        <f>Semirreboque!A200</f>
        <v>SETEMBRO|19</v>
      </c>
      <c r="B199" s="280">
        <f>[245]RODOAR!$D$26</f>
        <v>1369.9</v>
      </c>
      <c r="C199" s="197">
        <f t="shared" si="259"/>
        <v>130.27311803415878</v>
      </c>
      <c r="D199" s="198">
        <f t="shared" si="260"/>
        <v>0</v>
      </c>
      <c r="E199" s="198">
        <f>100*(B199/B$190-1)</f>
        <v>2.238973057690874</v>
      </c>
      <c r="F199" s="199">
        <f t="shared" si="261"/>
        <v>2.238973057690874</v>
      </c>
      <c r="G199" s="200">
        <f t="shared" si="262"/>
        <v>5.7919530465672997</v>
      </c>
      <c r="H199" s="209">
        <f t="shared" si="96"/>
        <v>1.0415000000000001</v>
      </c>
    </row>
    <row r="200" spans="1:8" ht="16.5" customHeight="1">
      <c r="A200" s="196" t="str">
        <f>Semirreboque!A201</f>
        <v>OUTUBRO|19</v>
      </c>
      <c r="B200" s="280">
        <f>[246]RODOAR!$D$26</f>
        <v>1369.9</v>
      </c>
      <c r="C200" s="197">
        <f t="shared" si="259"/>
        <v>130.27311803415878</v>
      </c>
      <c r="D200" s="198">
        <f t="shared" si="260"/>
        <v>0</v>
      </c>
      <c r="E200" s="198">
        <f>100*(B200/B$190-1)</f>
        <v>2.238973057690874</v>
      </c>
      <c r="F200" s="199">
        <f t="shared" si="261"/>
        <v>2.238973057690874</v>
      </c>
      <c r="G200" s="200">
        <f t="shared" si="262"/>
        <v>5.7919530465672997</v>
      </c>
      <c r="H200" s="209">
        <f t="shared" si="96"/>
        <v>1.0415000000000001</v>
      </c>
    </row>
    <row r="201" spans="1:8" ht="16.5" customHeight="1">
      <c r="A201" s="196" t="str">
        <f>Semirreboque!A202</f>
        <v>NOVEMBRO|19</v>
      </c>
      <c r="B201" s="280">
        <f>[247]RODOAR!$D$26</f>
        <v>1369.9</v>
      </c>
      <c r="C201" s="197">
        <f t="shared" si="259"/>
        <v>130.27311803415878</v>
      </c>
      <c r="D201" s="198">
        <f t="shared" si="260"/>
        <v>0</v>
      </c>
      <c r="E201" s="198">
        <f>100*(B201/B$190-1)</f>
        <v>2.238973057690874</v>
      </c>
      <c r="F201" s="199">
        <f t="shared" si="261"/>
        <v>2.238973057690874</v>
      </c>
      <c r="G201" s="200">
        <f t="shared" si="262"/>
        <v>3.396482753415353</v>
      </c>
      <c r="H201" s="209">
        <f t="shared" si="96"/>
        <v>1.0415000000000001</v>
      </c>
    </row>
    <row r="202" spans="1:8" ht="16.5" customHeight="1">
      <c r="A202" s="196" t="str">
        <f>Semirreboque!A203</f>
        <v>DEZEMBRO|19</v>
      </c>
      <c r="B202" s="280">
        <f>[248]RODOAR!$D$26</f>
        <v>1369.9</v>
      </c>
      <c r="C202" s="197">
        <f t="shared" si="259"/>
        <v>130.27311803415878</v>
      </c>
      <c r="D202" s="198">
        <f t="shared" si="260"/>
        <v>0</v>
      </c>
      <c r="E202" s="198">
        <f>100*(B202/B$190-1)</f>
        <v>2.238973057690874</v>
      </c>
      <c r="F202" s="199">
        <f t="shared" si="261"/>
        <v>2.238973057690874</v>
      </c>
      <c r="G202" s="200">
        <f t="shared" si="262"/>
        <v>3.396482753415353</v>
      </c>
      <c r="H202" s="209">
        <f t="shared" si="96"/>
        <v>1.0415000000000001</v>
      </c>
    </row>
    <row r="203" spans="1:8" ht="16.5" customHeight="1">
      <c r="A203" s="196" t="str">
        <f>Semirreboque!A204</f>
        <v>JANEIRO|20</v>
      </c>
      <c r="B203" s="280">
        <f>[249]RODOAR!$D$26</f>
        <v>1369.9</v>
      </c>
      <c r="C203" s="197">
        <f t="shared" si="259"/>
        <v>130.27311803415878</v>
      </c>
      <c r="D203" s="198">
        <f t="shared" si="260"/>
        <v>0</v>
      </c>
      <c r="E203" s="198">
        <f t="shared" ref="E203:E208" si="263">100*(B203/B$202-1)</f>
        <v>0</v>
      </c>
      <c r="F203" s="199">
        <f t="shared" si="261"/>
        <v>2.238973057690874</v>
      </c>
      <c r="G203" s="200">
        <f t="shared" si="262"/>
        <v>3.396482753415353</v>
      </c>
      <c r="H203" s="209">
        <f t="shared" si="96"/>
        <v>1.0415000000000001</v>
      </c>
    </row>
    <row r="204" spans="1:8" ht="16.5" customHeight="1">
      <c r="A204" s="196" t="str">
        <f>Semirreboque!A205</f>
        <v>FEVEREIRO|20</v>
      </c>
      <c r="B204" s="280">
        <f>[250]RODOAR!$D$26</f>
        <v>1426.7508500000004</v>
      </c>
      <c r="C204" s="197">
        <f t="shared" ref="C204" si="264">100*B204/B$8</f>
        <v>135.6794524325764</v>
      </c>
      <c r="D204" s="198">
        <f t="shared" ref="D204" si="265">100*(B204/B203-1)</f>
        <v>4.1500000000000092</v>
      </c>
      <c r="E204" s="198">
        <f t="shared" si="263"/>
        <v>4.1500000000000092</v>
      </c>
      <c r="F204" s="199">
        <f t="shared" ref="F204" si="266">(100*(B204/B192-1))</f>
        <v>4.1500000000000092</v>
      </c>
      <c r="G204" s="200">
        <f t="shared" ref="G204" si="267">100*(B204/B180-1)</f>
        <v>7.6874367876821115</v>
      </c>
      <c r="H204" s="209">
        <f t="shared" si="96"/>
        <v>1</v>
      </c>
    </row>
    <row r="205" spans="1:8" ht="16.5" customHeight="1">
      <c r="A205" s="196" t="str">
        <f>Semirreboque!A206</f>
        <v>MARÇO|20</v>
      </c>
      <c r="B205" s="280">
        <f>[251]RODOAR!$D$26</f>
        <v>1426.7508500000004</v>
      </c>
      <c r="C205" s="197">
        <f t="shared" ref="C205" si="268">100*B205/B$8</f>
        <v>135.6794524325764</v>
      </c>
      <c r="D205" s="198">
        <f t="shared" ref="D205" si="269">100*(B205/B204-1)</f>
        <v>0</v>
      </c>
      <c r="E205" s="198">
        <f t="shared" si="263"/>
        <v>4.1500000000000092</v>
      </c>
      <c r="F205" s="199">
        <f t="shared" ref="F205" si="270">(100*(B205/B193-1))</f>
        <v>4.1500000000000092</v>
      </c>
      <c r="G205" s="200">
        <f t="shared" ref="G205" si="271">100*(B205/B181-1)</f>
        <v>7.6874367876821115</v>
      </c>
      <c r="H205" s="209">
        <f t="shared" si="96"/>
        <v>1</v>
      </c>
    </row>
    <row r="206" spans="1:8" ht="16.5" customHeight="1">
      <c r="A206" s="196" t="str">
        <f>Semirreboque!A207</f>
        <v>ABRIL|20</v>
      </c>
      <c r="B206" s="280">
        <f>[252]RODOAR!$D$26</f>
        <v>1426.7508500000004</v>
      </c>
      <c r="C206" s="197">
        <f t="shared" ref="C206" si="272">100*B206/B$8</f>
        <v>135.6794524325764</v>
      </c>
      <c r="D206" s="198">
        <f t="shared" ref="D206" si="273">100*(B206/B205-1)</f>
        <v>0</v>
      </c>
      <c r="E206" s="198">
        <f t="shared" si="263"/>
        <v>4.1500000000000092</v>
      </c>
      <c r="F206" s="199">
        <f t="shared" ref="F206" si="274">(100*(B206/B194-1))</f>
        <v>4.1500000000000092</v>
      </c>
      <c r="G206" s="200">
        <f t="shared" ref="G206" si="275">100*(B206/B182-1)</f>
        <v>6.4818904395850696</v>
      </c>
      <c r="H206" s="209">
        <f t="shared" si="96"/>
        <v>1</v>
      </c>
    </row>
    <row r="207" spans="1:8" ht="16.5" customHeight="1">
      <c r="A207" s="196" t="str">
        <f>Semirreboque!A208</f>
        <v>MAIO|20</v>
      </c>
      <c r="B207" s="280">
        <f>[253]RODOAR!$D$26</f>
        <v>1426.7508500000004</v>
      </c>
      <c r="C207" s="197">
        <f t="shared" ref="C207" si="276">100*B207/B$8</f>
        <v>135.6794524325764</v>
      </c>
      <c r="D207" s="198">
        <f t="shared" ref="D207" si="277">100*(B207/B206-1)</f>
        <v>0</v>
      </c>
      <c r="E207" s="198">
        <f t="shared" si="263"/>
        <v>4.1500000000000092</v>
      </c>
      <c r="F207" s="199">
        <f t="shared" ref="F207" si="278">(100*(B207/B195-1))</f>
        <v>4.1500000000000092</v>
      </c>
      <c r="G207" s="200">
        <f t="shared" ref="G207" si="279">100*(B207/B183-1)</f>
        <v>6.4818904395850696</v>
      </c>
      <c r="H207" s="209">
        <f t="shared" si="96"/>
        <v>1</v>
      </c>
    </row>
    <row r="208" spans="1:8" ht="16.5" customHeight="1">
      <c r="A208" s="196" t="str">
        <f>Semirreboque!A209</f>
        <v>JUNHO|20</v>
      </c>
      <c r="B208" s="280">
        <f>[254]RODOAR!$D$26</f>
        <v>1426.7508500000004</v>
      </c>
      <c r="C208" s="197">
        <f t="shared" ref="C208" si="280">100*B208/B$8</f>
        <v>135.6794524325764</v>
      </c>
      <c r="D208" s="198">
        <f t="shared" ref="D208" si="281">100*(B208/B207-1)</f>
        <v>0</v>
      </c>
      <c r="E208" s="198">
        <f t="shared" si="263"/>
        <v>4.1500000000000092</v>
      </c>
      <c r="F208" s="199">
        <f t="shared" ref="F208" si="282">(100*(B208/B196-1))</f>
        <v>4.1500000000000092</v>
      </c>
      <c r="G208" s="200">
        <f t="shared" ref="G208" si="283">100*(B208/B184-1)</f>
        <v>6.4818904395850696</v>
      </c>
      <c r="H208" s="209">
        <f t="shared" si="96"/>
        <v>1</v>
      </c>
    </row>
    <row r="209" spans="1:8" ht="16.5" customHeight="1">
      <c r="A209" s="196" t="str">
        <f>Semirreboque!A210</f>
        <v>JULHO|20</v>
      </c>
      <c r="B209" s="280">
        <f>[255]RODOAR!$D$26</f>
        <v>1426.7508500000004</v>
      </c>
      <c r="C209" s="197">
        <f t="shared" ref="C209" si="284">100*B209/B$8</f>
        <v>135.6794524325764</v>
      </c>
      <c r="D209" s="198">
        <f t="shared" ref="D209" si="285">100*(B209/B208-1)</f>
        <v>0</v>
      </c>
      <c r="E209" s="198">
        <f t="shared" ref="E209" si="286">100*(B209/B$202-1)</f>
        <v>4.1500000000000092</v>
      </c>
      <c r="F209" s="199">
        <f t="shared" ref="F209" si="287">(100*(B209/B197-1))</f>
        <v>4.1500000000000092</v>
      </c>
      <c r="G209" s="200">
        <f t="shared" ref="G209" si="288">100*(B209/B185-1)</f>
        <v>6.4818904395850696</v>
      </c>
      <c r="H209" s="209">
        <f t="shared" si="96"/>
        <v>1</v>
      </c>
    </row>
    <row r="210" spans="1:8" ht="16.5" customHeight="1">
      <c r="A210" s="196" t="str">
        <f>Semirreboque!A211</f>
        <v>AGOSTO|20</v>
      </c>
      <c r="B210" s="280">
        <f>[256]RODOAR!$D$26</f>
        <v>1426.7508500000004</v>
      </c>
      <c r="C210" s="197">
        <f t="shared" ref="C210" si="289">100*B210/B$8</f>
        <v>135.6794524325764</v>
      </c>
      <c r="D210" s="198">
        <f t="shared" ref="D210" si="290">100*(B210/B209-1)</f>
        <v>0</v>
      </c>
      <c r="E210" s="198">
        <f t="shared" ref="E210" si="291">100*(B210/B$202-1)</f>
        <v>4.1500000000000092</v>
      </c>
      <c r="F210" s="199">
        <f t="shared" ref="F210" si="292">(100*(B210/B198-1))</f>
        <v>4.1500000000000092</v>
      </c>
      <c r="G210" s="200">
        <f t="shared" ref="G210" si="293">100*(B210/B186-1)</f>
        <v>6.4818904395850696</v>
      </c>
      <c r="H210" s="279">
        <f t="shared" si="96"/>
        <v>1</v>
      </c>
    </row>
    <row r="211" spans="1:8" ht="16.5" customHeight="1" thickBot="1">
      <c r="A211" s="151" t="str">
        <f>Semirreboque!A212</f>
        <v>SETEMBRO|20</v>
      </c>
      <c r="B211" s="192">
        <f>[259]RODOAR!$D$26</f>
        <v>1426.7508500000004</v>
      </c>
      <c r="C211" s="153">
        <f t="shared" ref="C211" si="294">100*B211/B$8</f>
        <v>135.6794524325764</v>
      </c>
      <c r="D211" s="154">
        <f t="shared" ref="D211" si="295">100*(B211/B210-1)</f>
        <v>0</v>
      </c>
      <c r="E211" s="154">
        <f t="shared" ref="E211" si="296">100*(B211/B$202-1)</f>
        <v>4.1500000000000092</v>
      </c>
      <c r="F211" s="155">
        <f t="shared" ref="F211" si="297">(100*(B211/B199-1))</f>
        <v>4.1500000000000092</v>
      </c>
      <c r="G211" s="156">
        <f t="shared" ref="G211" si="298">100*(B211/B187-1)</f>
        <v>6.4818904395850696</v>
      </c>
      <c r="H211" s="157">
        <f t="shared" si="96"/>
        <v>1</v>
      </c>
    </row>
    <row r="212" spans="1:8">
      <c r="A212" s="125" t="s">
        <v>18</v>
      </c>
      <c r="B212" s="104"/>
      <c r="C212" s="104"/>
      <c r="D212" s="104"/>
      <c r="E212" s="104"/>
      <c r="F212" s="104"/>
      <c r="G212" s="104"/>
      <c r="H212" s="104"/>
    </row>
    <row r="213" spans="1:8">
      <c r="A213" s="106"/>
      <c r="B213" s="107"/>
      <c r="C213" s="107"/>
      <c r="D213" s="108"/>
      <c r="E213" s="107"/>
      <c r="F213" s="104"/>
      <c r="G213" s="104"/>
      <c r="H213" s="104"/>
    </row>
    <row r="214" spans="1:8">
      <c r="B214" s="104"/>
      <c r="C214" s="104"/>
      <c r="D214" s="104"/>
      <c r="E214" s="104"/>
      <c r="F214" s="104"/>
      <c r="G214" s="104"/>
      <c r="H214" s="104"/>
    </row>
    <row r="215" spans="1:8">
      <c r="B215" s="104"/>
      <c r="C215" s="104"/>
      <c r="D215" s="104"/>
      <c r="E215" s="104"/>
      <c r="F215" s="104"/>
      <c r="G215" s="104"/>
      <c r="H215" s="104"/>
    </row>
    <row r="216" spans="1:8">
      <c r="B216" s="104"/>
      <c r="C216" s="104"/>
      <c r="D216" s="104"/>
      <c r="E216" s="104"/>
      <c r="F216" s="104"/>
      <c r="G216" s="104"/>
      <c r="H216" s="104"/>
    </row>
    <row r="217" spans="1:8">
      <c r="B217" s="104"/>
      <c r="C217" s="104"/>
      <c r="D217" s="104"/>
      <c r="E217" s="104"/>
      <c r="F217" s="104"/>
      <c r="G217" s="104"/>
      <c r="H217" s="104"/>
    </row>
    <row r="218" spans="1:8">
      <c r="B218" s="104"/>
      <c r="C218" s="104"/>
      <c r="D218" s="104"/>
      <c r="E218" s="104"/>
      <c r="F218" s="104"/>
      <c r="G218" s="104"/>
      <c r="H218" s="104"/>
    </row>
    <row r="219" spans="1:8">
      <c r="B219" s="104"/>
      <c r="C219" s="104"/>
      <c r="D219" s="104"/>
      <c r="E219" s="104"/>
      <c r="F219" s="104"/>
      <c r="G219" s="104"/>
      <c r="H219" s="104"/>
    </row>
    <row r="220" spans="1:8">
      <c r="B220" s="104"/>
      <c r="C220" s="104"/>
      <c r="D220" s="104"/>
      <c r="E220" s="104"/>
      <c r="F220" s="104"/>
      <c r="G220" s="104"/>
      <c r="H220" s="104"/>
    </row>
    <row r="221" spans="1:8">
      <c r="B221" s="104"/>
      <c r="C221" s="104"/>
      <c r="D221" s="104"/>
      <c r="E221" s="104"/>
      <c r="F221" s="104"/>
      <c r="G221" s="104"/>
      <c r="H221" s="104"/>
    </row>
    <row r="222" spans="1:8">
      <c r="B222" s="104"/>
      <c r="C222" s="104"/>
      <c r="D222" s="104"/>
      <c r="E222" s="104"/>
      <c r="F222" s="104"/>
      <c r="G222" s="104"/>
      <c r="H222" s="104"/>
    </row>
    <row r="223" spans="1:8">
      <c r="B223" s="104"/>
      <c r="C223" s="104"/>
      <c r="D223" s="104"/>
      <c r="E223" s="104"/>
      <c r="F223" s="104"/>
      <c r="G223" s="104"/>
      <c r="H223" s="104"/>
    </row>
    <row r="224" spans="1:8">
      <c r="B224" s="104"/>
      <c r="C224" s="104"/>
      <c r="D224" s="104"/>
      <c r="E224" s="104"/>
      <c r="F224" s="104"/>
      <c r="G224" s="104"/>
      <c r="H224" s="104"/>
    </row>
    <row r="225" spans="1:8">
      <c r="B225" s="104"/>
      <c r="C225" s="104"/>
      <c r="D225" s="104"/>
      <c r="E225" s="104"/>
      <c r="F225" s="104"/>
      <c r="G225" s="104"/>
      <c r="H225" s="104"/>
    </row>
    <row r="226" spans="1:8">
      <c r="A226" s="105"/>
      <c r="B226" s="104"/>
      <c r="C226" s="104"/>
      <c r="D226" s="104"/>
      <c r="E226" s="104"/>
      <c r="F226" s="104"/>
      <c r="G226" s="104"/>
      <c r="H226" s="104"/>
    </row>
    <row r="227" spans="1:8">
      <c r="B227" s="104"/>
      <c r="C227" s="104"/>
      <c r="D227" s="104"/>
      <c r="E227" s="104"/>
      <c r="F227" s="104"/>
      <c r="G227" s="104"/>
      <c r="H227" s="104"/>
    </row>
    <row r="228" spans="1:8">
      <c r="B228" s="104"/>
      <c r="C228" s="104"/>
      <c r="D228" s="104"/>
      <c r="E228" s="104"/>
      <c r="F228" s="104"/>
      <c r="G228" s="104"/>
      <c r="H228" s="104"/>
    </row>
    <row r="229" spans="1:8">
      <c r="A229" s="106"/>
      <c r="B229" s="104"/>
      <c r="C229" s="104"/>
      <c r="D229" s="104"/>
      <c r="E229" s="104"/>
      <c r="F229" s="104"/>
      <c r="G229" s="104"/>
      <c r="H229" s="104"/>
    </row>
    <row r="230" spans="1:8">
      <c r="A230" s="106"/>
      <c r="B230" s="107"/>
      <c r="C230" s="107"/>
      <c r="D230" s="108"/>
      <c r="E230" s="107"/>
      <c r="F230" s="104"/>
      <c r="G230" s="104"/>
      <c r="H230" s="104"/>
    </row>
    <row r="231" spans="1:8">
      <c r="B231" s="104"/>
      <c r="C231" s="104"/>
      <c r="D231" s="104"/>
      <c r="E231" s="104"/>
      <c r="F231" s="104"/>
      <c r="G231" s="104"/>
      <c r="H231" s="104"/>
    </row>
    <row r="232" spans="1:8">
      <c r="B232" s="104"/>
      <c r="C232" s="104"/>
      <c r="D232" s="104"/>
      <c r="E232" s="104"/>
      <c r="F232" s="104"/>
      <c r="G232" s="104"/>
      <c r="H232" s="104"/>
    </row>
    <row r="233" spans="1:8">
      <c r="B233" s="104"/>
      <c r="C233" s="104"/>
      <c r="D233" s="104"/>
      <c r="E233" s="104"/>
      <c r="F233" s="104"/>
      <c r="G233" s="104"/>
      <c r="H233" s="104"/>
    </row>
    <row r="234" spans="1:8">
      <c r="B234" s="104"/>
      <c r="C234" s="104"/>
      <c r="D234" s="104"/>
      <c r="E234" s="104"/>
      <c r="F234" s="104"/>
      <c r="G234" s="104"/>
      <c r="H234" s="104"/>
    </row>
    <row r="235" spans="1:8">
      <c r="B235" s="104"/>
      <c r="C235" s="104"/>
      <c r="D235" s="104"/>
      <c r="E235" s="104"/>
      <c r="F235" s="104"/>
      <c r="G235" s="104"/>
      <c r="H235" s="104"/>
    </row>
    <row r="236" spans="1:8">
      <c r="B236" s="104"/>
      <c r="C236" s="104"/>
      <c r="D236" s="104"/>
      <c r="E236" s="104"/>
      <c r="F236" s="104"/>
      <c r="G236" s="104"/>
      <c r="H236" s="104"/>
    </row>
    <row r="237" spans="1:8">
      <c r="B237" s="104"/>
      <c r="C237" s="104"/>
      <c r="D237" s="104"/>
      <c r="E237" s="104"/>
      <c r="F237" s="104"/>
      <c r="G237" s="104"/>
      <c r="H237" s="104"/>
    </row>
    <row r="238" spans="1:8">
      <c r="B238" s="104"/>
      <c r="C238" s="104"/>
      <c r="D238" s="104"/>
      <c r="E238" s="104"/>
      <c r="F238" s="104"/>
      <c r="G238" s="104"/>
      <c r="H238" s="104"/>
    </row>
    <row r="239" spans="1:8">
      <c r="B239" s="104"/>
      <c r="C239" s="104"/>
      <c r="D239" s="104"/>
      <c r="E239" s="104"/>
      <c r="F239" s="104"/>
      <c r="G239" s="104"/>
      <c r="H239" s="104"/>
    </row>
    <row r="240" spans="1:8">
      <c r="B240" s="104"/>
      <c r="C240" s="104"/>
      <c r="D240" s="104"/>
      <c r="E240" s="104"/>
      <c r="F240" s="104"/>
      <c r="G240" s="104"/>
      <c r="H240" s="104"/>
    </row>
    <row r="241" spans="1:8">
      <c r="B241" s="104"/>
      <c r="C241" s="104"/>
      <c r="D241" s="104"/>
      <c r="E241" s="104"/>
      <c r="F241" s="104"/>
      <c r="G241" s="104"/>
      <c r="H241" s="104"/>
    </row>
    <row r="242" spans="1:8">
      <c r="B242" s="104"/>
      <c r="C242" s="104"/>
      <c r="D242" s="104"/>
      <c r="E242" s="104"/>
      <c r="F242" s="104"/>
      <c r="G242" s="104"/>
      <c r="H242" s="104"/>
    </row>
    <row r="243" spans="1:8">
      <c r="A243" s="105"/>
      <c r="B243" s="104"/>
      <c r="C243" s="104"/>
      <c r="D243" s="104"/>
      <c r="E243" s="104"/>
      <c r="F243" s="104"/>
      <c r="G243" s="104"/>
      <c r="H243" s="104"/>
    </row>
    <row r="244" spans="1:8">
      <c r="B244" s="104"/>
      <c r="C244" s="104"/>
      <c r="D244" s="104"/>
      <c r="E244" s="104"/>
      <c r="F244" s="104"/>
      <c r="G244" s="104"/>
      <c r="H244" s="104"/>
    </row>
    <row r="245" spans="1:8">
      <c r="B245" s="104"/>
      <c r="C245" s="104"/>
      <c r="D245" s="104"/>
      <c r="E245" s="104"/>
      <c r="F245" s="104"/>
      <c r="G245" s="104"/>
      <c r="H245" s="104"/>
    </row>
    <row r="246" spans="1:8">
      <c r="B246" s="104"/>
      <c r="C246" s="104"/>
      <c r="D246" s="104"/>
      <c r="E246" s="104"/>
      <c r="F246" s="104"/>
      <c r="G246" s="104"/>
      <c r="H246" s="104"/>
    </row>
    <row r="247" spans="1:8">
      <c r="B247" s="104"/>
      <c r="C247" s="104"/>
      <c r="D247" s="104"/>
      <c r="E247" s="104"/>
      <c r="F247" s="104"/>
      <c r="G247" s="104"/>
      <c r="H247" s="104"/>
    </row>
    <row r="248" spans="1:8">
      <c r="B248" s="104"/>
      <c r="C248" s="104"/>
      <c r="D248" s="104"/>
      <c r="E248" s="104"/>
      <c r="F248" s="104"/>
      <c r="G248" s="104"/>
      <c r="H248" s="104"/>
    </row>
    <row r="249" spans="1:8">
      <c r="B249" s="104"/>
      <c r="C249" s="104"/>
      <c r="D249" s="104"/>
      <c r="E249" s="104"/>
      <c r="F249" s="104"/>
      <c r="G249" s="104"/>
      <c r="H249" s="104"/>
    </row>
    <row r="250" spans="1:8">
      <c r="B250" s="104"/>
      <c r="C250" s="104"/>
      <c r="D250" s="104"/>
      <c r="E250" s="104"/>
      <c r="F250" s="104"/>
      <c r="G250" s="104"/>
      <c r="H250" s="104"/>
    </row>
    <row r="251" spans="1:8">
      <c r="B251" s="104"/>
      <c r="C251" s="104"/>
      <c r="D251" s="104"/>
      <c r="E251" s="104"/>
      <c r="F251" s="104"/>
      <c r="G251" s="104"/>
      <c r="H251" s="104"/>
    </row>
    <row r="252" spans="1:8">
      <c r="B252" s="104"/>
      <c r="C252" s="104"/>
      <c r="D252" s="104"/>
      <c r="E252" s="104"/>
      <c r="F252" s="104"/>
      <c r="G252" s="104"/>
      <c r="H252" s="104"/>
    </row>
    <row r="253" spans="1:8">
      <c r="B253" s="104"/>
      <c r="C253" s="104"/>
      <c r="D253" s="104"/>
      <c r="E253" s="104"/>
      <c r="F253" s="104"/>
      <c r="G253" s="104"/>
      <c r="H253" s="104"/>
    </row>
    <row r="254" spans="1:8">
      <c r="B254" s="104"/>
      <c r="C254" s="104"/>
      <c r="D254" s="104"/>
      <c r="E254" s="104"/>
      <c r="F254" s="104"/>
      <c r="G254" s="104"/>
      <c r="H254" s="104"/>
    </row>
    <row r="255" spans="1:8">
      <c r="B255" s="104"/>
      <c r="C255" s="104"/>
      <c r="D255" s="104"/>
      <c r="E255" s="104"/>
      <c r="F255" s="104"/>
      <c r="G255" s="104"/>
      <c r="H255" s="104"/>
    </row>
    <row r="256" spans="1:8">
      <c r="B256" s="104"/>
      <c r="C256" s="104"/>
      <c r="D256" s="104"/>
      <c r="E256" s="104"/>
      <c r="F256" s="104"/>
      <c r="G256" s="104"/>
      <c r="H256" s="104"/>
    </row>
    <row r="257" spans="2:8">
      <c r="B257" s="104"/>
      <c r="C257" s="104"/>
      <c r="D257" s="104"/>
      <c r="E257" s="104"/>
      <c r="F257" s="104"/>
      <c r="G257" s="104"/>
      <c r="H257" s="104"/>
    </row>
    <row r="258" spans="2:8">
      <c r="B258" s="104"/>
      <c r="C258" s="104"/>
      <c r="D258" s="104"/>
      <c r="E258" s="104"/>
      <c r="F258" s="104"/>
      <c r="G258" s="104"/>
      <c r="H258" s="104"/>
    </row>
    <row r="259" spans="2:8">
      <c r="B259" s="104"/>
      <c r="C259" s="104"/>
      <c r="D259" s="104"/>
      <c r="E259" s="104"/>
      <c r="F259" s="104"/>
      <c r="G259" s="104"/>
      <c r="H259" s="104"/>
    </row>
    <row r="260" spans="2:8">
      <c r="B260" s="104"/>
      <c r="C260" s="104"/>
      <c r="D260" s="104"/>
      <c r="E260" s="104"/>
      <c r="F260" s="104"/>
      <c r="G260" s="104"/>
      <c r="H260" s="104"/>
    </row>
    <row r="261" spans="2:8">
      <c r="B261" s="104"/>
      <c r="C261" s="104"/>
      <c r="D261" s="104"/>
      <c r="E261" s="104"/>
      <c r="F261" s="104"/>
      <c r="G261" s="104"/>
      <c r="H261" s="104"/>
    </row>
    <row r="262" spans="2:8">
      <c r="B262" s="104"/>
      <c r="C262" s="104"/>
      <c r="D262" s="104"/>
      <c r="E262" s="104"/>
      <c r="F262" s="104"/>
      <c r="G262" s="104"/>
      <c r="H262" s="104"/>
    </row>
    <row r="263" spans="2:8">
      <c r="B263" s="104"/>
      <c r="C263" s="104"/>
      <c r="D263" s="104"/>
      <c r="E263" s="104"/>
      <c r="F263" s="104"/>
      <c r="G263" s="104"/>
      <c r="H263" s="104"/>
    </row>
    <row r="264" spans="2:8">
      <c r="B264" s="104"/>
      <c r="C264" s="104"/>
      <c r="D264" s="104"/>
      <c r="E264" s="104"/>
      <c r="F264" s="104"/>
      <c r="G264" s="104"/>
      <c r="H264" s="104"/>
    </row>
    <row r="265" spans="2:8">
      <c r="B265" s="104"/>
      <c r="C265" s="104"/>
      <c r="D265" s="104"/>
      <c r="E265" s="104"/>
      <c r="F265" s="104"/>
      <c r="G265" s="104"/>
      <c r="H265" s="104"/>
    </row>
    <row r="266" spans="2:8">
      <c r="B266" s="104"/>
      <c r="C266" s="104"/>
      <c r="D266" s="104"/>
      <c r="E266" s="104"/>
      <c r="F266" s="104"/>
      <c r="G266" s="104"/>
      <c r="H266" s="104"/>
    </row>
    <row r="267" spans="2:8">
      <c r="B267" s="104"/>
      <c r="C267" s="104"/>
      <c r="D267" s="104"/>
      <c r="E267" s="104"/>
      <c r="F267" s="104"/>
      <c r="G267" s="104"/>
      <c r="H267" s="104"/>
    </row>
    <row r="268" spans="2:8">
      <c r="B268" s="104"/>
      <c r="C268" s="104"/>
      <c r="D268" s="104"/>
      <c r="E268" s="104"/>
      <c r="F268" s="104"/>
      <c r="G268" s="104"/>
      <c r="H268" s="104"/>
    </row>
    <row r="269" spans="2:8">
      <c r="B269" s="104"/>
      <c r="C269" s="104"/>
      <c r="D269" s="104"/>
      <c r="E269" s="104"/>
      <c r="F269" s="104"/>
      <c r="G269" s="104"/>
      <c r="H269" s="104"/>
    </row>
    <row r="270" spans="2:8">
      <c r="B270" s="104"/>
      <c r="C270" s="104"/>
      <c r="D270" s="104"/>
      <c r="E270" s="104"/>
      <c r="F270" s="104"/>
      <c r="G270" s="104"/>
      <c r="H270" s="104"/>
    </row>
    <row r="271" spans="2:8">
      <c r="B271" s="104"/>
      <c r="C271" s="104"/>
      <c r="D271" s="104"/>
      <c r="E271" s="104"/>
      <c r="F271" s="104"/>
      <c r="G271" s="104"/>
      <c r="H271" s="104"/>
    </row>
    <row r="272" spans="2:8">
      <c r="B272" s="104"/>
      <c r="C272" s="104"/>
      <c r="D272" s="104"/>
      <c r="E272" s="104"/>
      <c r="F272" s="104"/>
      <c r="G272" s="104"/>
      <c r="H272" s="104"/>
    </row>
    <row r="273" spans="2:8">
      <c r="B273" s="104"/>
      <c r="C273" s="104"/>
      <c r="D273" s="104"/>
      <c r="E273" s="104"/>
      <c r="F273" s="104"/>
      <c r="G273" s="104"/>
      <c r="H273" s="104"/>
    </row>
    <row r="274" spans="2:8">
      <c r="B274" s="104"/>
      <c r="C274" s="104"/>
      <c r="D274" s="104"/>
      <c r="E274" s="104"/>
      <c r="F274" s="104"/>
      <c r="G274" s="104"/>
      <c r="H274" s="104"/>
    </row>
    <row r="275" spans="2:8">
      <c r="B275" s="104"/>
      <c r="C275" s="104"/>
      <c r="D275" s="104"/>
      <c r="E275" s="104"/>
      <c r="F275" s="104"/>
      <c r="G275" s="104"/>
      <c r="H275" s="104"/>
    </row>
    <row r="276" spans="2:8">
      <c r="B276" s="104"/>
      <c r="C276" s="104"/>
      <c r="D276" s="104"/>
      <c r="E276" s="104"/>
      <c r="F276" s="104"/>
      <c r="G276" s="104"/>
      <c r="H276" s="104"/>
    </row>
    <row r="277" spans="2:8">
      <c r="B277" s="104"/>
      <c r="C277" s="104"/>
      <c r="D277" s="104"/>
      <c r="E277" s="104"/>
      <c r="F277" s="104"/>
      <c r="G277" s="104"/>
      <c r="H277" s="104"/>
    </row>
    <row r="278" spans="2:8">
      <c r="B278" s="104"/>
      <c r="C278" s="104"/>
      <c r="D278" s="104"/>
      <c r="E278" s="104"/>
      <c r="F278" s="104"/>
      <c r="G278" s="104"/>
      <c r="H278" s="104"/>
    </row>
    <row r="279" spans="2:8">
      <c r="B279" s="104"/>
      <c r="C279" s="104"/>
      <c r="D279" s="104"/>
      <c r="E279" s="104"/>
      <c r="F279" s="104"/>
      <c r="G279" s="104"/>
      <c r="H279" s="104"/>
    </row>
    <row r="280" spans="2:8">
      <c r="B280" s="104"/>
      <c r="C280" s="104"/>
      <c r="D280" s="104"/>
      <c r="E280" s="104"/>
      <c r="F280" s="104"/>
      <c r="G280" s="104"/>
      <c r="H280" s="104"/>
    </row>
    <row r="281" spans="2:8">
      <c r="B281" s="104"/>
      <c r="C281" s="104"/>
      <c r="D281" s="104"/>
      <c r="E281" s="104"/>
      <c r="F281" s="104"/>
      <c r="G281" s="104"/>
      <c r="H281" s="104"/>
    </row>
    <row r="282" spans="2:8">
      <c r="B282" s="104"/>
      <c r="C282" s="104"/>
      <c r="D282" s="104"/>
      <c r="E282" s="104"/>
      <c r="F282" s="104"/>
      <c r="G282" s="104"/>
      <c r="H282" s="104"/>
    </row>
    <row r="283" spans="2:8">
      <c r="B283" s="104"/>
      <c r="C283" s="104"/>
      <c r="D283" s="104"/>
      <c r="E283" s="104"/>
      <c r="F283" s="104"/>
      <c r="G283" s="104"/>
      <c r="H283" s="104"/>
    </row>
    <row r="284" spans="2:8">
      <c r="B284" s="104"/>
      <c r="C284" s="104"/>
      <c r="D284" s="104"/>
      <c r="E284" s="104"/>
      <c r="F284" s="104"/>
      <c r="G284" s="104"/>
      <c r="H284" s="104"/>
    </row>
    <row r="285" spans="2:8">
      <c r="B285" s="104"/>
      <c r="C285" s="104"/>
      <c r="D285" s="104"/>
      <c r="E285" s="104"/>
      <c r="F285" s="104"/>
      <c r="G285" s="104"/>
      <c r="H285" s="104"/>
    </row>
    <row r="286" spans="2:8">
      <c r="B286" s="104"/>
      <c r="C286" s="104"/>
      <c r="D286" s="104"/>
      <c r="E286" s="104"/>
      <c r="F286" s="104"/>
      <c r="G286" s="104"/>
      <c r="H286" s="104"/>
    </row>
    <row r="287" spans="2:8">
      <c r="B287" s="104"/>
      <c r="C287" s="104"/>
      <c r="D287" s="104"/>
      <c r="E287" s="104"/>
      <c r="F287" s="104"/>
      <c r="G287" s="104"/>
      <c r="H287" s="104"/>
    </row>
    <row r="288" spans="2:8">
      <c r="B288" s="104"/>
      <c r="C288" s="104"/>
      <c r="D288" s="104"/>
      <c r="E288" s="104"/>
      <c r="F288" s="104"/>
      <c r="G288" s="104"/>
      <c r="H288" s="104"/>
    </row>
    <row r="289" spans="2:8">
      <c r="B289" s="104"/>
      <c r="C289" s="104"/>
      <c r="D289" s="104"/>
      <c r="E289" s="104"/>
      <c r="F289" s="104"/>
      <c r="G289" s="104"/>
      <c r="H289" s="104"/>
    </row>
    <row r="290" spans="2:8">
      <c r="B290" s="104"/>
      <c r="C290" s="104"/>
      <c r="D290" s="104"/>
      <c r="E290" s="104"/>
      <c r="F290" s="104"/>
      <c r="G290" s="104"/>
      <c r="H290" s="104"/>
    </row>
    <row r="291" spans="2:8">
      <c r="B291" s="104"/>
      <c r="C291" s="104"/>
      <c r="D291" s="104"/>
      <c r="E291" s="104"/>
      <c r="F291" s="104"/>
      <c r="G291" s="104"/>
      <c r="H291" s="104"/>
    </row>
    <row r="292" spans="2:8">
      <c r="B292" s="104"/>
      <c r="C292" s="104"/>
      <c r="D292" s="104"/>
      <c r="E292" s="104"/>
      <c r="F292" s="104"/>
      <c r="G292" s="104"/>
      <c r="H292" s="104"/>
    </row>
    <row r="293" spans="2:8">
      <c r="B293" s="104"/>
      <c r="C293" s="104"/>
      <c r="D293" s="104"/>
      <c r="E293" s="104"/>
      <c r="F293" s="104"/>
      <c r="G293" s="104"/>
      <c r="H293" s="104"/>
    </row>
    <row r="294" spans="2:8">
      <c r="B294" s="104"/>
      <c r="C294" s="104"/>
      <c r="D294" s="104"/>
      <c r="E294" s="104"/>
      <c r="F294" s="104"/>
      <c r="G294" s="104"/>
      <c r="H294" s="104"/>
    </row>
    <row r="295" spans="2:8">
      <c r="B295" s="104"/>
      <c r="C295" s="104"/>
      <c r="D295" s="104"/>
      <c r="E295" s="104"/>
      <c r="F295" s="104"/>
      <c r="G295" s="104"/>
      <c r="H295" s="104"/>
    </row>
    <row r="296" spans="2:8">
      <c r="B296" s="104"/>
      <c r="C296" s="104"/>
      <c r="D296" s="104"/>
      <c r="E296" s="104"/>
      <c r="F296" s="104"/>
      <c r="G296" s="104"/>
      <c r="H296" s="104"/>
    </row>
    <row r="297" spans="2:8">
      <c r="B297" s="104"/>
      <c r="C297" s="104"/>
      <c r="D297" s="104"/>
      <c r="E297" s="104"/>
      <c r="F297" s="104"/>
      <c r="G297" s="104"/>
      <c r="H297" s="104"/>
    </row>
    <row r="298" spans="2:8">
      <c r="B298" s="104"/>
      <c r="C298" s="104"/>
      <c r="D298" s="104"/>
      <c r="E298" s="104"/>
      <c r="F298" s="104"/>
      <c r="G298" s="104"/>
      <c r="H298" s="104"/>
    </row>
    <row r="299" spans="2:8">
      <c r="B299" s="104"/>
      <c r="C299" s="104"/>
      <c r="D299" s="104"/>
      <c r="E299" s="104"/>
      <c r="F299" s="104"/>
      <c r="G299" s="104"/>
      <c r="H299" s="104"/>
    </row>
    <row r="300" spans="2:8">
      <c r="B300" s="104"/>
      <c r="C300" s="104"/>
      <c r="D300" s="104"/>
      <c r="E300" s="104"/>
      <c r="F300" s="104"/>
      <c r="G300" s="104"/>
      <c r="H300" s="104"/>
    </row>
    <row r="301" spans="2:8">
      <c r="B301" s="104"/>
      <c r="C301" s="104"/>
      <c r="D301" s="104"/>
      <c r="E301" s="104"/>
      <c r="F301" s="104"/>
      <c r="G301" s="104"/>
      <c r="H301" s="104"/>
    </row>
    <row r="302" spans="2:8">
      <c r="B302" s="104"/>
      <c r="C302" s="104"/>
      <c r="D302" s="104"/>
      <c r="E302" s="104"/>
      <c r="F302" s="104"/>
      <c r="G302" s="104"/>
      <c r="H302" s="104"/>
    </row>
    <row r="303" spans="2:8">
      <c r="B303" s="104"/>
      <c r="C303" s="104"/>
      <c r="D303" s="104"/>
      <c r="E303" s="104"/>
      <c r="F303" s="104"/>
      <c r="G303" s="104"/>
      <c r="H303" s="104"/>
    </row>
    <row r="304" spans="2:8">
      <c r="B304" s="104"/>
      <c r="C304" s="104"/>
      <c r="D304" s="104"/>
      <c r="E304" s="104"/>
      <c r="F304" s="104"/>
      <c r="G304" s="104"/>
      <c r="H304" s="104"/>
    </row>
    <row r="305" spans="2:8">
      <c r="B305" s="104"/>
      <c r="C305" s="104"/>
      <c r="D305" s="104"/>
      <c r="E305" s="104"/>
      <c r="F305" s="104"/>
      <c r="G305" s="104"/>
      <c r="H305" s="104"/>
    </row>
    <row r="306" spans="2:8">
      <c r="B306" s="104"/>
      <c r="C306" s="104"/>
      <c r="D306" s="104"/>
      <c r="E306" s="104"/>
      <c r="F306" s="104"/>
      <c r="G306" s="104"/>
      <c r="H306" s="104"/>
    </row>
    <row r="307" spans="2:8">
      <c r="B307" s="104"/>
      <c r="C307" s="104"/>
      <c r="D307" s="104"/>
      <c r="E307" s="104"/>
      <c r="F307" s="104"/>
      <c r="G307" s="104"/>
      <c r="H307" s="104"/>
    </row>
    <row r="308" spans="2:8">
      <c r="B308" s="104"/>
      <c r="C308" s="104"/>
      <c r="D308" s="104"/>
      <c r="E308" s="104"/>
      <c r="F308" s="104"/>
      <c r="G308" s="104"/>
      <c r="H308" s="104"/>
    </row>
    <row r="309" spans="2:8">
      <c r="B309" s="104"/>
      <c r="C309" s="104"/>
      <c r="D309" s="104"/>
      <c r="E309" s="104"/>
      <c r="F309" s="104"/>
      <c r="G309" s="104"/>
      <c r="H309" s="104"/>
    </row>
    <row r="310" spans="2:8">
      <c r="B310" s="104"/>
      <c r="C310" s="104"/>
      <c r="D310" s="104"/>
      <c r="E310" s="104"/>
      <c r="F310" s="104"/>
      <c r="G310" s="104"/>
      <c r="H310" s="104"/>
    </row>
    <row r="311" spans="2:8">
      <c r="B311" s="104"/>
      <c r="C311" s="104"/>
      <c r="D311" s="104"/>
      <c r="E311" s="104"/>
      <c r="F311" s="104"/>
      <c r="G311" s="104"/>
      <c r="H311" s="104"/>
    </row>
    <row r="312" spans="2:8">
      <c r="B312" s="104"/>
      <c r="C312" s="104"/>
      <c r="D312" s="104"/>
      <c r="E312" s="104"/>
      <c r="F312" s="104"/>
      <c r="G312" s="104"/>
      <c r="H312" s="104"/>
    </row>
    <row r="313" spans="2:8">
      <c r="B313" s="104"/>
      <c r="C313" s="104"/>
      <c r="D313" s="104"/>
      <c r="E313" s="104"/>
      <c r="F313" s="104"/>
      <c r="G313" s="104"/>
      <c r="H313" s="104"/>
    </row>
    <row r="314" spans="2:8">
      <c r="B314" s="104"/>
      <c r="C314" s="104"/>
      <c r="D314" s="104"/>
      <c r="E314" s="104"/>
      <c r="F314" s="104"/>
      <c r="G314" s="104"/>
      <c r="H314" s="104"/>
    </row>
    <row r="315" spans="2:8">
      <c r="B315" s="104"/>
      <c r="C315" s="104"/>
      <c r="D315" s="104"/>
      <c r="E315" s="104"/>
      <c r="F315" s="104"/>
      <c r="G315" s="104"/>
      <c r="H315" s="104"/>
    </row>
    <row r="316" spans="2:8">
      <c r="B316" s="104"/>
      <c r="C316" s="104"/>
      <c r="D316" s="104"/>
      <c r="E316" s="104"/>
      <c r="F316" s="104"/>
      <c r="G316" s="104"/>
      <c r="H316" s="104"/>
    </row>
    <row r="317" spans="2:8">
      <c r="B317" s="104"/>
      <c r="C317" s="104"/>
      <c r="D317" s="104"/>
      <c r="E317" s="104"/>
      <c r="F317" s="104"/>
      <c r="G317" s="104"/>
      <c r="H317" s="104"/>
    </row>
    <row r="318" spans="2:8">
      <c r="B318" s="104"/>
      <c r="C318" s="104"/>
      <c r="D318" s="104"/>
      <c r="E318" s="104"/>
      <c r="F318" s="104"/>
      <c r="G318" s="104"/>
      <c r="H318" s="104"/>
    </row>
    <row r="319" spans="2:8">
      <c r="B319" s="104"/>
      <c r="C319" s="104"/>
      <c r="D319" s="104"/>
      <c r="E319" s="104"/>
      <c r="F319" s="104"/>
      <c r="G319" s="104"/>
      <c r="H319" s="104"/>
    </row>
    <row r="320" spans="2:8">
      <c r="B320" s="104"/>
      <c r="C320" s="104"/>
      <c r="D320" s="104"/>
      <c r="E320" s="104"/>
      <c r="F320" s="104"/>
      <c r="G320" s="104"/>
      <c r="H320" s="104"/>
    </row>
    <row r="321" spans="2:8">
      <c r="B321" s="104"/>
      <c r="C321" s="104"/>
      <c r="D321" s="104"/>
      <c r="E321" s="104"/>
      <c r="F321" s="104"/>
      <c r="G321" s="104"/>
      <c r="H321" s="104"/>
    </row>
    <row r="322" spans="2:8">
      <c r="B322" s="104"/>
      <c r="C322" s="104"/>
      <c r="D322" s="104"/>
      <c r="E322" s="104"/>
      <c r="F322" s="104"/>
      <c r="G322" s="104"/>
      <c r="H322" s="104"/>
    </row>
    <row r="323" spans="2:8">
      <c r="B323" s="104"/>
      <c r="C323" s="104"/>
      <c r="D323" s="104"/>
      <c r="E323" s="104"/>
      <c r="F323" s="104"/>
      <c r="G323" s="104"/>
      <c r="H323" s="104"/>
    </row>
    <row r="324" spans="2:8">
      <c r="B324" s="104"/>
      <c r="C324" s="104"/>
      <c r="D324" s="104"/>
      <c r="E324" s="104"/>
      <c r="F324" s="104"/>
      <c r="G324" s="104"/>
      <c r="H324" s="104"/>
    </row>
    <row r="325" spans="2:8">
      <c r="B325" s="104"/>
      <c r="C325" s="104"/>
      <c r="D325" s="104"/>
      <c r="E325" s="104"/>
      <c r="F325" s="104"/>
      <c r="G325" s="104"/>
      <c r="H325" s="104"/>
    </row>
    <row r="326" spans="2:8">
      <c r="B326" s="104"/>
      <c r="C326" s="104"/>
      <c r="D326" s="104"/>
      <c r="E326" s="104"/>
      <c r="F326" s="104"/>
      <c r="G326" s="104"/>
      <c r="H326" s="104"/>
    </row>
    <row r="327" spans="2:8">
      <c r="B327" s="104"/>
      <c r="C327" s="104"/>
      <c r="D327" s="104"/>
      <c r="E327" s="104"/>
      <c r="F327" s="104"/>
      <c r="G327" s="104"/>
      <c r="H327" s="104"/>
    </row>
    <row r="328" spans="2:8">
      <c r="B328" s="104"/>
      <c r="C328" s="104"/>
      <c r="D328" s="104"/>
      <c r="E328" s="104"/>
      <c r="F328" s="104"/>
      <c r="G328" s="104"/>
      <c r="H328" s="104"/>
    </row>
    <row r="329" spans="2:8">
      <c r="B329" s="104"/>
      <c r="C329" s="104"/>
      <c r="D329" s="104"/>
      <c r="E329" s="104"/>
      <c r="F329" s="104"/>
      <c r="G329" s="104"/>
      <c r="H329" s="104"/>
    </row>
    <row r="330" spans="2:8">
      <c r="B330" s="104"/>
      <c r="C330" s="104"/>
      <c r="D330" s="104"/>
      <c r="E330" s="104"/>
      <c r="F330" s="104"/>
      <c r="G330" s="104"/>
      <c r="H330" s="104"/>
    </row>
    <row r="331" spans="2:8">
      <c r="B331" s="104"/>
      <c r="C331" s="104"/>
      <c r="D331" s="104"/>
      <c r="E331" s="104"/>
      <c r="F331" s="104"/>
      <c r="G331" s="104"/>
      <c r="H331" s="104"/>
    </row>
    <row r="332" spans="2:8">
      <c r="B332" s="104"/>
      <c r="C332" s="104"/>
      <c r="D332" s="104"/>
      <c r="E332" s="104"/>
      <c r="F332" s="104"/>
      <c r="G332" s="104"/>
      <c r="H332" s="104"/>
    </row>
    <row r="333" spans="2:8">
      <c r="B333" s="104"/>
      <c r="C333" s="104"/>
      <c r="D333" s="104"/>
      <c r="E333" s="104"/>
      <c r="F333" s="104"/>
      <c r="G333" s="104"/>
      <c r="H333" s="104"/>
    </row>
    <row r="334" spans="2:8">
      <c r="B334" s="104"/>
      <c r="C334" s="104"/>
      <c r="D334" s="104"/>
      <c r="E334" s="104"/>
      <c r="F334" s="104"/>
      <c r="G334" s="104"/>
      <c r="H334" s="104"/>
    </row>
    <row r="335" spans="2:8">
      <c r="B335" s="104"/>
      <c r="C335" s="104"/>
      <c r="D335" s="104"/>
      <c r="E335" s="104"/>
      <c r="F335" s="104"/>
      <c r="G335" s="104"/>
      <c r="H335" s="104"/>
    </row>
    <row r="336" spans="2:8">
      <c r="B336" s="104"/>
      <c r="C336" s="104"/>
      <c r="D336" s="104"/>
      <c r="E336" s="104"/>
      <c r="F336" s="104"/>
      <c r="G336" s="104"/>
      <c r="H336" s="104"/>
    </row>
    <row r="337" spans="2:8">
      <c r="B337" s="104"/>
      <c r="C337" s="104"/>
      <c r="D337" s="104"/>
      <c r="E337" s="104"/>
      <c r="F337" s="104"/>
      <c r="G337" s="104"/>
      <c r="H337" s="104"/>
    </row>
    <row r="338" spans="2:8">
      <c r="B338" s="104"/>
      <c r="C338" s="104"/>
      <c r="D338" s="104"/>
      <c r="E338" s="104"/>
      <c r="F338" s="104"/>
      <c r="G338" s="104"/>
      <c r="H338" s="104"/>
    </row>
    <row r="339" spans="2:8">
      <c r="B339" s="104"/>
      <c r="C339" s="104"/>
      <c r="D339" s="104"/>
      <c r="E339" s="104"/>
      <c r="F339" s="104"/>
      <c r="G339" s="104"/>
      <c r="H339" s="104"/>
    </row>
    <row r="340" spans="2:8">
      <c r="B340" s="104"/>
      <c r="C340" s="104"/>
      <c r="D340" s="104"/>
      <c r="E340" s="104"/>
      <c r="F340" s="104"/>
      <c r="G340" s="104"/>
      <c r="H340" s="104"/>
    </row>
    <row r="341" spans="2:8">
      <c r="B341" s="104"/>
      <c r="C341" s="104"/>
      <c r="D341" s="104"/>
      <c r="E341" s="104"/>
      <c r="F341" s="104"/>
      <c r="G341" s="104"/>
      <c r="H341" s="104"/>
    </row>
    <row r="342" spans="2:8">
      <c r="B342" s="104"/>
      <c r="C342" s="104"/>
      <c r="D342" s="104"/>
      <c r="E342" s="104"/>
      <c r="F342" s="104"/>
      <c r="G342" s="104"/>
      <c r="H342" s="104"/>
    </row>
    <row r="343" spans="2:8">
      <c r="B343" s="104"/>
      <c r="C343" s="104"/>
      <c r="D343" s="104"/>
      <c r="E343" s="104"/>
      <c r="F343" s="104"/>
      <c r="G343" s="104"/>
      <c r="H343" s="104"/>
    </row>
    <row r="344" spans="2:8">
      <c r="B344" s="104"/>
      <c r="C344" s="104"/>
      <c r="D344" s="104"/>
      <c r="E344" s="104"/>
      <c r="F344" s="104"/>
      <c r="G344" s="104"/>
      <c r="H344" s="104"/>
    </row>
    <row r="345" spans="2:8">
      <c r="B345" s="104"/>
      <c r="C345" s="104"/>
      <c r="D345" s="104"/>
      <c r="E345" s="104"/>
      <c r="F345" s="104"/>
      <c r="G345" s="104"/>
      <c r="H345" s="104"/>
    </row>
    <row r="346" spans="2:8">
      <c r="B346" s="104"/>
      <c r="C346" s="104"/>
      <c r="D346" s="104"/>
      <c r="E346" s="104"/>
      <c r="F346" s="104"/>
      <c r="G346" s="104"/>
      <c r="H346" s="104"/>
    </row>
    <row r="347" spans="2:8">
      <c r="B347" s="104"/>
      <c r="C347" s="104"/>
      <c r="D347" s="104"/>
      <c r="E347" s="104"/>
      <c r="F347" s="104"/>
      <c r="G347" s="104"/>
      <c r="H347" s="104"/>
    </row>
    <row r="348" spans="2:8">
      <c r="B348" s="104"/>
      <c r="C348" s="104"/>
      <c r="D348" s="104"/>
      <c r="E348" s="104"/>
      <c r="F348" s="104"/>
      <c r="G348" s="104"/>
      <c r="H348" s="104"/>
    </row>
    <row r="349" spans="2:8">
      <c r="B349" s="104"/>
      <c r="C349" s="104"/>
      <c r="D349" s="104"/>
      <c r="E349" s="104"/>
      <c r="F349" s="104"/>
      <c r="G349" s="104"/>
      <c r="H349" s="104"/>
    </row>
    <row r="350" spans="2:8">
      <c r="B350" s="104"/>
      <c r="C350" s="104"/>
      <c r="D350" s="104"/>
      <c r="E350" s="104"/>
      <c r="F350" s="104"/>
      <c r="G350" s="104"/>
      <c r="H350" s="104"/>
    </row>
    <row r="351" spans="2:8">
      <c r="B351" s="104"/>
      <c r="C351" s="104"/>
      <c r="D351" s="104"/>
      <c r="E351" s="104"/>
      <c r="F351" s="104"/>
      <c r="G351" s="104"/>
      <c r="H351" s="104"/>
    </row>
    <row r="352" spans="2:8">
      <c r="B352" s="104"/>
      <c r="C352" s="104"/>
      <c r="D352" s="104"/>
      <c r="E352" s="104"/>
      <c r="F352" s="104"/>
      <c r="G352" s="104"/>
      <c r="H352" s="104"/>
    </row>
    <row r="353" spans="2:8">
      <c r="B353" s="104"/>
      <c r="C353" s="104"/>
      <c r="D353" s="104"/>
      <c r="E353" s="104"/>
      <c r="F353" s="104"/>
      <c r="G353" s="104"/>
      <c r="H353" s="104"/>
    </row>
    <row r="354" spans="2:8">
      <c r="B354" s="104"/>
      <c r="C354" s="104"/>
      <c r="D354" s="104"/>
      <c r="E354" s="104"/>
      <c r="F354" s="104"/>
      <c r="G354" s="104"/>
      <c r="H354" s="104"/>
    </row>
    <row r="355" spans="2:8">
      <c r="B355" s="104"/>
      <c r="C355" s="104"/>
      <c r="D355" s="104"/>
      <c r="E355" s="104"/>
      <c r="F355" s="104"/>
      <c r="G355" s="104"/>
      <c r="H355" s="104"/>
    </row>
    <row r="356" spans="2:8">
      <c r="B356" s="104"/>
      <c r="C356" s="104"/>
      <c r="D356" s="104"/>
      <c r="E356" s="104"/>
      <c r="F356" s="104"/>
      <c r="G356" s="104"/>
      <c r="H356" s="104"/>
    </row>
    <row r="357" spans="2:8">
      <c r="B357" s="104"/>
      <c r="C357" s="104"/>
      <c r="D357" s="104"/>
      <c r="E357" s="104"/>
      <c r="F357" s="104"/>
      <c r="G357" s="104"/>
      <c r="H357" s="104"/>
    </row>
    <row r="358" spans="2:8">
      <c r="B358" s="104"/>
      <c r="C358" s="104"/>
      <c r="D358" s="104"/>
      <c r="E358" s="104"/>
      <c r="F358" s="104"/>
      <c r="G358" s="104"/>
      <c r="H358" s="104"/>
    </row>
    <row r="359" spans="2:8">
      <c r="B359" s="104"/>
      <c r="C359" s="104"/>
      <c r="D359" s="104"/>
      <c r="E359" s="104"/>
      <c r="F359" s="104"/>
      <c r="G359" s="104"/>
      <c r="H359" s="104"/>
    </row>
    <row r="360" spans="2:8">
      <c r="B360" s="104"/>
      <c r="C360" s="104"/>
      <c r="D360" s="104"/>
      <c r="E360" s="104"/>
      <c r="F360" s="104"/>
      <c r="G360" s="104"/>
      <c r="H360" s="104"/>
    </row>
    <row r="361" spans="2:8">
      <c r="B361" s="104"/>
      <c r="C361" s="104"/>
      <c r="D361" s="104"/>
      <c r="E361" s="104"/>
      <c r="F361" s="104"/>
      <c r="G361" s="104"/>
      <c r="H361" s="104"/>
    </row>
    <row r="362" spans="2:8">
      <c r="B362" s="104"/>
      <c r="C362" s="104"/>
      <c r="D362" s="104"/>
      <c r="E362" s="104"/>
      <c r="F362" s="104"/>
      <c r="G362" s="104"/>
      <c r="H362" s="104"/>
    </row>
    <row r="363" spans="2:8">
      <c r="B363" s="104"/>
      <c r="C363" s="104"/>
      <c r="D363" s="104"/>
      <c r="E363" s="104"/>
      <c r="F363" s="104"/>
      <c r="G363" s="104"/>
      <c r="H363" s="104"/>
    </row>
    <row r="364" spans="2:8">
      <c r="B364" s="104"/>
      <c r="C364" s="104"/>
      <c r="D364" s="104"/>
      <c r="E364" s="104"/>
      <c r="F364" s="104"/>
      <c r="G364" s="104"/>
      <c r="H364" s="104"/>
    </row>
    <row r="365" spans="2:8">
      <c r="B365" s="104"/>
      <c r="C365" s="104"/>
      <c r="D365" s="104"/>
      <c r="E365" s="104"/>
      <c r="F365" s="104"/>
      <c r="G365" s="104"/>
      <c r="H365" s="104"/>
    </row>
    <row r="366" spans="2:8">
      <c r="B366" s="104"/>
      <c r="C366" s="104"/>
      <c r="D366" s="104"/>
      <c r="E366" s="104"/>
      <c r="F366" s="104"/>
      <c r="G366" s="104"/>
      <c r="H366" s="104"/>
    </row>
    <row r="367" spans="2:8">
      <c r="B367" s="104"/>
      <c r="C367" s="104"/>
      <c r="D367" s="104"/>
      <c r="E367" s="104"/>
      <c r="F367" s="104"/>
      <c r="G367" s="104"/>
      <c r="H367" s="104"/>
    </row>
    <row r="368" spans="2:8">
      <c r="B368" s="104"/>
      <c r="C368" s="104"/>
      <c r="D368" s="104"/>
      <c r="E368" s="104"/>
      <c r="F368" s="104"/>
      <c r="G368" s="104"/>
      <c r="H368" s="104"/>
    </row>
    <row r="369" spans="2:8">
      <c r="B369" s="104"/>
      <c r="C369" s="104"/>
      <c r="D369" s="104"/>
      <c r="E369" s="104"/>
      <c r="F369" s="104"/>
      <c r="G369" s="104"/>
      <c r="H369" s="104"/>
    </row>
    <row r="370" spans="2:8">
      <c r="B370" s="104"/>
      <c r="C370" s="104"/>
      <c r="D370" s="104"/>
      <c r="E370" s="104"/>
      <c r="F370" s="104"/>
      <c r="G370" s="104"/>
      <c r="H370" s="104"/>
    </row>
    <row r="371" spans="2:8">
      <c r="B371" s="104"/>
      <c r="C371" s="104"/>
      <c r="D371" s="104"/>
      <c r="E371" s="104"/>
      <c r="F371" s="104"/>
      <c r="G371" s="104"/>
      <c r="H371" s="104"/>
    </row>
    <row r="372" spans="2:8">
      <c r="B372" s="104"/>
      <c r="C372" s="104"/>
      <c r="D372" s="104"/>
      <c r="E372" s="104"/>
      <c r="F372" s="104"/>
      <c r="G372" s="104"/>
      <c r="H372" s="104"/>
    </row>
    <row r="373" spans="2:8">
      <c r="B373" s="104"/>
      <c r="C373" s="104"/>
      <c r="D373" s="104"/>
      <c r="E373" s="104"/>
      <c r="F373" s="104"/>
      <c r="G373" s="104"/>
      <c r="H373" s="104"/>
    </row>
    <row r="374" spans="2:8">
      <c r="B374" s="104"/>
      <c r="C374" s="104"/>
      <c r="D374" s="104"/>
      <c r="E374" s="104"/>
      <c r="F374" s="104"/>
      <c r="G374" s="104"/>
      <c r="H374" s="104"/>
    </row>
    <row r="375" spans="2:8">
      <c r="B375" s="104"/>
      <c r="C375" s="104"/>
      <c r="D375" s="104"/>
      <c r="E375" s="104"/>
      <c r="F375" s="104"/>
      <c r="G375" s="104"/>
      <c r="H375" s="104"/>
    </row>
    <row r="376" spans="2:8">
      <c r="B376" s="104"/>
      <c r="C376" s="104"/>
      <c r="D376" s="104"/>
      <c r="E376" s="104"/>
      <c r="F376" s="104"/>
      <c r="G376" s="104"/>
      <c r="H376" s="104"/>
    </row>
    <row r="377" spans="2:8">
      <c r="B377" s="104"/>
      <c r="C377" s="104"/>
      <c r="D377" s="104"/>
      <c r="E377" s="104"/>
      <c r="F377" s="104"/>
      <c r="G377" s="104"/>
      <c r="H377" s="104"/>
    </row>
    <row r="378" spans="2:8">
      <c r="B378" s="104"/>
      <c r="C378" s="104"/>
      <c r="D378" s="104"/>
      <c r="E378" s="104"/>
      <c r="F378" s="104"/>
      <c r="G378" s="104"/>
      <c r="H378" s="104"/>
    </row>
    <row r="379" spans="2:8">
      <c r="B379" s="104"/>
      <c r="C379" s="104"/>
      <c r="D379" s="104"/>
      <c r="E379" s="104"/>
      <c r="F379" s="104"/>
      <c r="G379" s="104"/>
      <c r="H379" s="104"/>
    </row>
    <row r="380" spans="2:8">
      <c r="B380" s="104"/>
      <c r="C380" s="104"/>
      <c r="D380" s="104"/>
      <c r="E380" s="104"/>
      <c r="F380" s="104"/>
      <c r="G380" s="104"/>
      <c r="H380" s="104"/>
    </row>
    <row r="381" spans="2:8">
      <c r="B381" s="104"/>
      <c r="C381" s="104"/>
      <c r="D381" s="104"/>
      <c r="E381" s="104"/>
      <c r="F381" s="104"/>
      <c r="G381" s="104"/>
      <c r="H381" s="104"/>
    </row>
    <row r="382" spans="2:8">
      <c r="B382" s="104"/>
      <c r="C382" s="104"/>
      <c r="D382" s="104"/>
      <c r="E382" s="104"/>
      <c r="F382" s="104"/>
      <c r="G382" s="104"/>
      <c r="H382" s="104"/>
    </row>
    <row r="383" spans="2:8">
      <c r="B383" s="104"/>
      <c r="C383" s="104"/>
      <c r="D383" s="104"/>
      <c r="E383" s="104"/>
      <c r="F383" s="104"/>
      <c r="G383" s="104"/>
      <c r="H383" s="104"/>
    </row>
    <row r="384" spans="2:8">
      <c r="B384" s="104"/>
      <c r="C384" s="104"/>
      <c r="D384" s="104"/>
      <c r="E384" s="104"/>
      <c r="F384" s="104"/>
      <c r="G384" s="104"/>
      <c r="H384" s="104"/>
    </row>
    <row r="385" spans="2:8">
      <c r="B385" s="104"/>
      <c r="C385" s="104"/>
      <c r="D385" s="104"/>
      <c r="E385" s="104"/>
      <c r="F385" s="104"/>
      <c r="G385" s="104"/>
      <c r="H385" s="104"/>
    </row>
    <row r="386" spans="2:8">
      <c r="B386" s="104"/>
      <c r="C386" s="104"/>
      <c r="D386" s="104"/>
      <c r="E386" s="104"/>
      <c r="F386" s="104"/>
      <c r="G386" s="104"/>
      <c r="H386" s="104"/>
    </row>
    <row r="387" spans="2:8">
      <c r="B387" s="104"/>
      <c r="C387" s="104"/>
      <c r="D387" s="104"/>
      <c r="E387" s="104"/>
      <c r="F387" s="104"/>
      <c r="G387" s="104"/>
      <c r="H387" s="104"/>
    </row>
    <row r="388" spans="2:8">
      <c r="B388" s="104"/>
      <c r="C388" s="104"/>
      <c r="D388" s="104"/>
      <c r="E388" s="104"/>
      <c r="F388" s="104"/>
      <c r="G388" s="104"/>
      <c r="H388" s="104"/>
    </row>
    <row r="389" spans="2:8">
      <c r="B389" s="104"/>
      <c r="C389" s="104"/>
      <c r="D389" s="104"/>
      <c r="E389" s="104"/>
      <c r="F389" s="104"/>
      <c r="G389" s="104"/>
      <c r="H389" s="104"/>
    </row>
    <row r="390" spans="2:8">
      <c r="B390" s="104"/>
      <c r="C390" s="104"/>
      <c r="D390" s="104"/>
      <c r="E390" s="104"/>
      <c r="F390" s="104"/>
      <c r="G390" s="104"/>
      <c r="H390" s="104"/>
    </row>
    <row r="391" spans="2:8">
      <c r="B391" s="104"/>
      <c r="C391" s="104"/>
      <c r="D391" s="104"/>
      <c r="E391" s="104"/>
      <c r="F391" s="104"/>
      <c r="G391" s="104"/>
      <c r="H391" s="104"/>
    </row>
    <row r="392" spans="2:8">
      <c r="B392" s="104"/>
      <c r="C392" s="104"/>
      <c r="D392" s="104"/>
      <c r="E392" s="104"/>
      <c r="F392" s="104"/>
      <c r="G392" s="104"/>
      <c r="H392" s="104"/>
    </row>
    <row r="393" spans="2:8">
      <c r="B393" s="104"/>
      <c r="C393" s="104"/>
      <c r="D393" s="104"/>
      <c r="E393" s="104"/>
      <c r="F393" s="104"/>
      <c r="G393" s="104"/>
      <c r="H393" s="104"/>
    </row>
    <row r="394" spans="2:8">
      <c r="B394" s="104"/>
      <c r="C394" s="104"/>
      <c r="D394" s="104"/>
      <c r="E394" s="104"/>
      <c r="F394" s="104"/>
      <c r="G394" s="104"/>
      <c r="H394" s="104"/>
    </row>
    <row r="395" spans="2:8">
      <c r="B395" s="104"/>
      <c r="C395" s="104"/>
      <c r="D395" s="104"/>
      <c r="E395" s="104"/>
      <c r="F395" s="104"/>
      <c r="G395" s="104"/>
      <c r="H395" s="104"/>
    </row>
    <row r="396" spans="2:8">
      <c r="B396" s="104"/>
      <c r="C396" s="104"/>
      <c r="D396" s="104"/>
      <c r="E396" s="104"/>
      <c r="F396" s="104"/>
      <c r="G396" s="104"/>
      <c r="H396" s="104"/>
    </row>
    <row r="397" spans="2:8">
      <c r="B397" s="104"/>
      <c r="C397" s="104"/>
      <c r="D397" s="104"/>
      <c r="E397" s="104"/>
      <c r="F397" s="104"/>
      <c r="G397" s="104"/>
      <c r="H397" s="104"/>
    </row>
    <row r="398" spans="2:8">
      <c r="B398" s="104"/>
      <c r="C398" s="104"/>
      <c r="D398" s="104"/>
      <c r="E398" s="104"/>
      <c r="F398" s="104"/>
      <c r="G398" s="104"/>
      <c r="H398" s="104"/>
    </row>
    <row r="399" spans="2:8">
      <c r="B399" s="104"/>
      <c r="C399" s="104"/>
      <c r="D399" s="104"/>
      <c r="E399" s="104"/>
      <c r="F399" s="104"/>
      <c r="G399" s="104"/>
      <c r="H399" s="104"/>
    </row>
    <row r="400" spans="2:8">
      <c r="B400" s="104"/>
      <c r="C400" s="104"/>
      <c r="D400" s="104"/>
      <c r="E400" s="104"/>
      <c r="F400" s="104"/>
      <c r="G400" s="104"/>
      <c r="H400" s="104"/>
    </row>
    <row r="401" spans="2:8">
      <c r="B401" s="104"/>
      <c r="C401" s="104"/>
      <c r="D401" s="104"/>
      <c r="E401" s="104"/>
      <c r="F401" s="104"/>
      <c r="G401" s="104"/>
      <c r="H401" s="104"/>
    </row>
    <row r="402" spans="2:8">
      <c r="B402" s="104"/>
      <c r="C402" s="104"/>
      <c r="D402" s="104"/>
      <c r="E402" s="104"/>
      <c r="F402" s="104"/>
      <c r="G402" s="104"/>
      <c r="H402" s="104"/>
    </row>
    <row r="403" spans="2:8">
      <c r="B403" s="104"/>
      <c r="C403" s="104"/>
      <c r="D403" s="104"/>
      <c r="E403" s="104"/>
      <c r="F403" s="104"/>
      <c r="G403" s="104"/>
      <c r="H403" s="104"/>
    </row>
    <row r="404" spans="2:8">
      <c r="B404" s="104"/>
      <c r="C404" s="104"/>
      <c r="D404" s="104"/>
      <c r="E404" s="104"/>
      <c r="F404" s="104"/>
      <c r="G404" s="104"/>
      <c r="H404" s="104"/>
    </row>
    <row r="405" spans="2:8">
      <c r="B405" s="104"/>
      <c r="C405" s="104"/>
      <c r="D405" s="104"/>
      <c r="E405" s="104"/>
      <c r="F405" s="104"/>
      <c r="G405" s="104"/>
      <c r="H405" s="104"/>
    </row>
    <row r="406" spans="2:8">
      <c r="B406" s="104"/>
      <c r="C406" s="104"/>
      <c r="D406" s="104"/>
      <c r="E406" s="104"/>
      <c r="F406" s="104"/>
      <c r="G406" s="104"/>
      <c r="H406" s="104"/>
    </row>
    <row r="407" spans="2:8">
      <c r="B407" s="104"/>
      <c r="C407" s="104"/>
      <c r="D407" s="104"/>
      <c r="E407" s="104"/>
      <c r="F407" s="104"/>
      <c r="G407" s="104"/>
      <c r="H407" s="104"/>
    </row>
    <row r="408" spans="2:8">
      <c r="B408" s="104"/>
      <c r="C408" s="104"/>
      <c r="D408" s="104"/>
      <c r="E408" s="104"/>
      <c r="F408" s="104"/>
      <c r="G408" s="104"/>
      <c r="H408" s="104"/>
    </row>
    <row r="409" spans="2:8">
      <c r="B409" s="104"/>
      <c r="C409" s="104"/>
      <c r="D409" s="104"/>
      <c r="E409" s="104"/>
      <c r="F409" s="104"/>
      <c r="G409" s="104"/>
      <c r="H409" s="104"/>
    </row>
    <row r="410" spans="2:8">
      <c r="B410" s="104"/>
      <c r="C410" s="104"/>
      <c r="D410" s="104"/>
      <c r="E410" s="104"/>
      <c r="F410" s="104"/>
      <c r="G410" s="104"/>
      <c r="H410" s="104"/>
    </row>
    <row r="411" spans="2:8">
      <c r="B411" s="104"/>
      <c r="C411" s="104"/>
      <c r="D411" s="104"/>
      <c r="E411" s="104"/>
      <c r="F411" s="104"/>
      <c r="G411" s="104"/>
      <c r="H411" s="104"/>
    </row>
    <row r="412" spans="2:8">
      <c r="B412" s="104"/>
      <c r="C412" s="104"/>
      <c r="D412" s="104"/>
      <c r="E412" s="104"/>
      <c r="F412" s="104"/>
      <c r="G412" s="104"/>
      <c r="H412" s="104"/>
    </row>
    <row r="413" spans="2:8">
      <c r="B413" s="104"/>
      <c r="C413" s="104"/>
      <c r="D413" s="104"/>
      <c r="E413" s="104"/>
      <c r="F413" s="104"/>
      <c r="G413" s="104"/>
      <c r="H413" s="104"/>
    </row>
    <row r="414" spans="2:8">
      <c r="B414" s="104"/>
      <c r="C414" s="104"/>
      <c r="D414" s="104"/>
      <c r="E414" s="104"/>
      <c r="F414" s="104"/>
      <c r="G414" s="104"/>
      <c r="H414" s="104"/>
    </row>
    <row r="415" spans="2:8">
      <c r="B415" s="104"/>
      <c r="C415" s="104"/>
      <c r="D415" s="104"/>
      <c r="E415" s="104"/>
      <c r="F415" s="104"/>
      <c r="G415" s="104"/>
      <c r="H415" s="104"/>
    </row>
    <row r="416" spans="2:8">
      <c r="B416" s="104"/>
      <c r="C416" s="104"/>
      <c r="D416" s="104"/>
      <c r="E416" s="104"/>
      <c r="F416" s="104"/>
      <c r="G416" s="104"/>
      <c r="H416" s="104"/>
    </row>
    <row r="417" spans="2:8">
      <c r="B417" s="104"/>
      <c r="C417" s="104"/>
      <c r="D417" s="104"/>
      <c r="E417" s="104"/>
      <c r="F417" s="104"/>
      <c r="G417" s="104"/>
      <c r="H417" s="104"/>
    </row>
    <row r="418" spans="2:8">
      <c r="B418" s="104"/>
      <c r="C418" s="104"/>
      <c r="D418" s="104"/>
      <c r="E418" s="104"/>
      <c r="F418" s="104"/>
      <c r="G418" s="104"/>
      <c r="H418" s="104"/>
    </row>
    <row r="419" spans="2:8">
      <c r="B419" s="104"/>
      <c r="C419" s="104"/>
      <c r="D419" s="104"/>
      <c r="E419" s="104"/>
      <c r="F419" s="104"/>
      <c r="G419" s="104"/>
      <c r="H419" s="104"/>
    </row>
    <row r="420" spans="2:8">
      <c r="B420" s="104"/>
      <c r="C420" s="104"/>
      <c r="D420" s="104"/>
      <c r="E420" s="104"/>
      <c r="F420" s="104"/>
      <c r="G420" s="104"/>
      <c r="H420" s="104"/>
    </row>
    <row r="421" spans="2:8">
      <c r="B421" s="104"/>
      <c r="C421" s="104"/>
      <c r="D421" s="104"/>
      <c r="E421" s="104"/>
      <c r="F421" s="104"/>
      <c r="G421" s="104"/>
      <c r="H421" s="104"/>
    </row>
    <row r="422" spans="2:8">
      <c r="B422" s="104"/>
      <c r="C422" s="104"/>
      <c r="D422" s="104"/>
      <c r="E422" s="104"/>
      <c r="F422" s="104"/>
      <c r="G422" s="104"/>
      <c r="H422" s="104"/>
    </row>
    <row r="423" spans="2:8">
      <c r="B423" s="104"/>
      <c r="C423" s="104"/>
      <c r="D423" s="104"/>
      <c r="E423" s="104"/>
      <c r="F423" s="104"/>
      <c r="G423" s="104"/>
      <c r="H423" s="104"/>
    </row>
    <row r="424" spans="2:8">
      <c r="B424" s="104"/>
      <c r="C424" s="104"/>
      <c r="D424" s="104"/>
      <c r="E424" s="104"/>
      <c r="F424" s="104"/>
      <c r="G424" s="104"/>
      <c r="H424" s="104"/>
    </row>
    <row r="425" spans="2:8">
      <c r="B425" s="104"/>
      <c r="C425" s="104"/>
      <c r="D425" s="104"/>
      <c r="E425" s="104"/>
      <c r="F425" s="104"/>
      <c r="G425" s="104"/>
      <c r="H425" s="104"/>
    </row>
    <row r="426" spans="2:8">
      <c r="B426" s="104"/>
      <c r="C426" s="104"/>
      <c r="D426" s="104"/>
      <c r="E426" s="104"/>
      <c r="F426" s="104"/>
      <c r="G426" s="104"/>
      <c r="H426" s="104"/>
    </row>
    <row r="427" spans="2:8">
      <c r="B427" s="104"/>
      <c r="C427" s="104"/>
      <c r="D427" s="104"/>
      <c r="E427" s="104"/>
      <c r="F427" s="104"/>
      <c r="G427" s="104"/>
      <c r="H427" s="104"/>
    </row>
    <row r="428" spans="2:8">
      <c r="B428" s="104"/>
      <c r="C428" s="104"/>
      <c r="D428" s="104"/>
      <c r="E428" s="104"/>
      <c r="F428" s="104"/>
      <c r="G428" s="104"/>
      <c r="H428" s="104"/>
    </row>
    <row r="429" spans="2:8">
      <c r="B429" s="104"/>
      <c r="C429" s="104"/>
      <c r="D429" s="104"/>
      <c r="E429" s="104"/>
      <c r="F429" s="104"/>
      <c r="G429" s="104"/>
      <c r="H429" s="104"/>
    </row>
    <row r="430" spans="2:8">
      <c r="B430" s="104"/>
      <c r="C430" s="104"/>
      <c r="D430" s="104"/>
      <c r="E430" s="104"/>
      <c r="F430" s="104"/>
      <c r="G430" s="104"/>
      <c r="H430" s="104"/>
    </row>
    <row r="431" spans="2:8">
      <c r="B431" s="104"/>
      <c r="C431" s="104"/>
      <c r="D431" s="104"/>
      <c r="E431" s="104"/>
      <c r="F431" s="104"/>
      <c r="G431" s="104"/>
      <c r="H431" s="104"/>
    </row>
    <row r="432" spans="2:8">
      <c r="B432" s="104"/>
      <c r="C432" s="104"/>
      <c r="D432" s="104"/>
      <c r="E432" s="104"/>
      <c r="F432" s="104"/>
      <c r="G432" s="104"/>
      <c r="H432" s="104"/>
    </row>
    <row r="433" spans="2:8">
      <c r="B433" s="104"/>
      <c r="C433" s="104"/>
      <c r="D433" s="104"/>
      <c r="E433" s="104"/>
      <c r="F433" s="104"/>
      <c r="G433" s="104"/>
      <c r="H433" s="104"/>
    </row>
    <row r="434" spans="2:8">
      <c r="B434" s="104"/>
      <c r="C434" s="104"/>
      <c r="D434" s="104"/>
      <c r="E434" s="104"/>
      <c r="F434" s="104"/>
      <c r="G434" s="104"/>
      <c r="H434" s="104"/>
    </row>
    <row r="435" spans="2:8">
      <c r="B435" s="104"/>
      <c r="C435" s="104"/>
      <c r="D435" s="104"/>
      <c r="E435" s="104"/>
      <c r="F435" s="104"/>
      <c r="G435" s="104"/>
      <c r="H435" s="104"/>
    </row>
    <row r="436" spans="2:8">
      <c r="B436" s="104"/>
      <c r="C436" s="104"/>
      <c r="D436" s="104"/>
      <c r="E436" s="104"/>
      <c r="F436" s="104"/>
      <c r="G436" s="104"/>
      <c r="H436" s="104"/>
    </row>
    <row r="437" spans="2:8">
      <c r="B437" s="104"/>
      <c r="C437" s="104"/>
      <c r="D437" s="104"/>
      <c r="E437" s="104"/>
      <c r="F437" s="104"/>
      <c r="G437" s="104"/>
      <c r="H437" s="104"/>
    </row>
    <row r="438" spans="2:8">
      <c r="B438" s="104"/>
      <c r="C438" s="104"/>
      <c r="D438" s="104"/>
      <c r="E438" s="104"/>
      <c r="F438" s="104"/>
      <c r="G438" s="104"/>
      <c r="H438" s="104"/>
    </row>
    <row r="439" spans="2:8">
      <c r="B439" s="104"/>
      <c r="C439" s="104"/>
      <c r="D439" s="104"/>
      <c r="E439" s="104"/>
      <c r="F439" s="104"/>
      <c r="G439" s="104"/>
      <c r="H439" s="104"/>
    </row>
    <row r="440" spans="2:8">
      <c r="B440" s="104"/>
      <c r="C440" s="104"/>
      <c r="D440" s="104"/>
      <c r="E440" s="104"/>
      <c r="F440" s="104"/>
      <c r="G440" s="104"/>
      <c r="H440" s="104"/>
    </row>
    <row r="441" spans="2:8">
      <c r="B441" s="104"/>
      <c r="C441" s="104"/>
      <c r="D441" s="104"/>
      <c r="E441" s="104"/>
      <c r="F441" s="104"/>
      <c r="G441" s="104"/>
      <c r="H441" s="104"/>
    </row>
    <row r="442" spans="2:8">
      <c r="B442" s="104"/>
      <c r="C442" s="104"/>
      <c r="D442" s="104"/>
      <c r="E442" s="104"/>
      <c r="F442" s="104"/>
      <c r="G442" s="104"/>
      <c r="H442" s="104"/>
    </row>
    <row r="443" spans="2:8">
      <c r="B443" s="104"/>
      <c r="C443" s="104"/>
      <c r="D443" s="104"/>
      <c r="E443" s="104"/>
      <c r="F443" s="104"/>
      <c r="G443" s="104"/>
      <c r="H443" s="104"/>
    </row>
    <row r="444" spans="2:8">
      <c r="B444" s="104"/>
      <c r="C444" s="104"/>
      <c r="D444" s="104"/>
      <c r="E444" s="104"/>
      <c r="F444" s="104"/>
      <c r="G444" s="104"/>
      <c r="H444" s="104"/>
    </row>
    <row r="445" spans="2:8">
      <c r="B445" s="104"/>
      <c r="C445" s="104"/>
      <c r="D445" s="104"/>
      <c r="E445" s="104"/>
      <c r="F445" s="104"/>
      <c r="G445" s="104"/>
      <c r="H445" s="104"/>
    </row>
    <row r="446" spans="2:8">
      <c r="B446" s="104"/>
      <c r="C446" s="104"/>
      <c r="D446" s="104"/>
      <c r="E446" s="104"/>
      <c r="F446" s="104"/>
      <c r="G446" s="104"/>
      <c r="H446" s="104"/>
    </row>
    <row r="447" spans="2:8">
      <c r="B447" s="104"/>
      <c r="C447" s="104"/>
      <c r="D447" s="104"/>
      <c r="E447" s="104"/>
      <c r="F447" s="104"/>
      <c r="G447" s="104"/>
      <c r="H447" s="104"/>
    </row>
    <row r="448" spans="2:8">
      <c r="B448" s="104"/>
      <c r="C448" s="104"/>
      <c r="D448" s="104"/>
      <c r="E448" s="104"/>
      <c r="F448" s="104"/>
      <c r="G448" s="104"/>
      <c r="H448" s="104"/>
    </row>
    <row r="449" spans="2:8">
      <c r="B449" s="104"/>
      <c r="C449" s="104"/>
      <c r="D449" s="104"/>
      <c r="E449" s="104"/>
      <c r="F449" s="104"/>
      <c r="G449" s="104"/>
      <c r="H449" s="104"/>
    </row>
    <row r="450" spans="2:8">
      <c r="B450" s="104"/>
      <c r="C450" s="104"/>
      <c r="D450" s="104"/>
      <c r="E450" s="104"/>
      <c r="F450" s="104"/>
      <c r="G450" s="104"/>
      <c r="H450" s="104"/>
    </row>
    <row r="451" spans="2:8">
      <c r="B451" s="104"/>
      <c r="C451" s="104"/>
      <c r="D451" s="104"/>
      <c r="E451" s="104"/>
      <c r="F451" s="104"/>
      <c r="G451" s="104"/>
      <c r="H451" s="104"/>
    </row>
    <row r="452" spans="2:8">
      <c r="B452" s="104"/>
      <c r="C452" s="104"/>
      <c r="D452" s="104"/>
      <c r="E452" s="104"/>
      <c r="F452" s="104"/>
      <c r="G452" s="104"/>
      <c r="H452" s="104"/>
    </row>
    <row r="453" spans="2:8">
      <c r="B453" s="104"/>
      <c r="C453" s="104"/>
      <c r="D453" s="104"/>
      <c r="E453" s="104"/>
      <c r="F453" s="104"/>
      <c r="G453" s="104"/>
      <c r="H453" s="104"/>
    </row>
    <row r="454" spans="2:8">
      <c r="B454" s="104"/>
      <c r="C454" s="104"/>
      <c r="D454" s="104"/>
      <c r="E454" s="104"/>
      <c r="F454" s="104"/>
      <c r="G454" s="104"/>
      <c r="H454" s="104"/>
    </row>
    <row r="455" spans="2:8">
      <c r="B455" s="104"/>
      <c r="C455" s="104"/>
      <c r="D455" s="104"/>
      <c r="E455" s="104"/>
      <c r="F455" s="104"/>
      <c r="G455" s="104"/>
      <c r="H455" s="104"/>
    </row>
    <row r="456" spans="2:8">
      <c r="B456" s="104"/>
      <c r="C456" s="104"/>
      <c r="D456" s="104"/>
      <c r="E456" s="104"/>
      <c r="F456" s="104"/>
      <c r="G456" s="104"/>
      <c r="H456" s="104"/>
    </row>
    <row r="457" spans="2:8">
      <c r="B457" s="104"/>
      <c r="C457" s="104"/>
      <c r="D457" s="104"/>
      <c r="E457" s="104"/>
      <c r="F457" s="104"/>
      <c r="G457" s="104"/>
      <c r="H457" s="104"/>
    </row>
    <row r="458" spans="2:8">
      <c r="B458" s="104"/>
      <c r="C458" s="104"/>
      <c r="D458" s="104"/>
      <c r="E458" s="104"/>
      <c r="F458" s="104"/>
      <c r="G458" s="104"/>
      <c r="H458" s="104"/>
    </row>
    <row r="459" spans="2:8">
      <c r="B459" s="104"/>
      <c r="C459" s="104"/>
      <c r="D459" s="104"/>
      <c r="E459" s="104"/>
      <c r="F459" s="104"/>
      <c r="G459" s="104"/>
      <c r="H459" s="104"/>
    </row>
    <row r="460" spans="2:8">
      <c r="B460" s="104"/>
      <c r="C460" s="104"/>
      <c r="D460" s="104"/>
      <c r="E460" s="104"/>
      <c r="F460" s="104"/>
      <c r="G460" s="104"/>
      <c r="H460" s="104"/>
    </row>
    <row r="461" spans="2:8">
      <c r="B461" s="104"/>
      <c r="C461" s="104"/>
      <c r="D461" s="104"/>
      <c r="E461" s="104"/>
      <c r="F461" s="104"/>
      <c r="G461" s="104"/>
      <c r="H461" s="104"/>
    </row>
    <row r="462" spans="2:8">
      <c r="B462" s="104"/>
      <c r="C462" s="104"/>
      <c r="D462" s="104"/>
      <c r="E462" s="104"/>
      <c r="F462" s="104"/>
      <c r="G462" s="104"/>
      <c r="H462" s="104"/>
    </row>
    <row r="463" spans="2:8">
      <c r="B463" s="104"/>
      <c r="C463" s="104"/>
      <c r="D463" s="104"/>
      <c r="E463" s="104"/>
      <c r="F463" s="104"/>
      <c r="G463" s="104"/>
      <c r="H463" s="104"/>
    </row>
    <row r="464" spans="2:8">
      <c r="B464" s="104"/>
      <c r="C464" s="104"/>
      <c r="D464" s="104"/>
      <c r="E464" s="104"/>
      <c r="F464" s="104"/>
      <c r="G464" s="104"/>
      <c r="H464" s="104"/>
    </row>
    <row r="465" spans="2:8">
      <c r="B465" s="104"/>
      <c r="C465" s="104"/>
      <c r="D465" s="104"/>
      <c r="E465" s="104"/>
      <c r="F465" s="104"/>
      <c r="G465" s="104"/>
      <c r="H465" s="104"/>
    </row>
    <row r="466" spans="2:8">
      <c r="B466" s="104"/>
      <c r="C466" s="104"/>
      <c r="D466" s="104"/>
      <c r="E466" s="104"/>
      <c r="F466" s="104"/>
      <c r="G466" s="104"/>
      <c r="H466" s="104"/>
    </row>
    <row r="467" spans="2:8">
      <c r="B467" s="104"/>
      <c r="C467" s="104"/>
      <c r="D467" s="104"/>
      <c r="E467" s="104"/>
      <c r="F467" s="104"/>
      <c r="G467" s="104"/>
      <c r="H467" s="104"/>
    </row>
    <row r="468" spans="2:8">
      <c r="B468" s="104"/>
      <c r="C468" s="104"/>
      <c r="D468" s="104"/>
      <c r="E468" s="104"/>
      <c r="F468" s="104"/>
      <c r="G468" s="104"/>
      <c r="H468" s="104"/>
    </row>
    <row r="469" spans="2:8">
      <c r="B469" s="104"/>
      <c r="C469" s="104"/>
      <c r="D469" s="104"/>
      <c r="E469" s="104"/>
      <c r="F469" s="104"/>
      <c r="G469" s="104"/>
      <c r="H469" s="104"/>
    </row>
    <row r="470" spans="2:8">
      <c r="B470" s="104"/>
      <c r="C470" s="104"/>
      <c r="D470" s="104"/>
      <c r="E470" s="104"/>
      <c r="F470" s="104"/>
      <c r="G470" s="104"/>
      <c r="H470" s="104"/>
    </row>
    <row r="471" spans="2:8">
      <c r="B471" s="104"/>
      <c r="C471" s="104"/>
      <c r="D471" s="104"/>
      <c r="E471" s="104"/>
      <c r="F471" s="104"/>
      <c r="G471" s="104"/>
      <c r="H471" s="104"/>
    </row>
    <row r="472" spans="2:8">
      <c r="B472" s="104"/>
      <c r="C472" s="104"/>
      <c r="D472" s="104"/>
      <c r="E472" s="104"/>
      <c r="F472" s="104"/>
      <c r="G472" s="104"/>
      <c r="H472" s="104"/>
    </row>
    <row r="473" spans="2:8">
      <c r="B473" s="104"/>
      <c r="C473" s="104"/>
      <c r="D473" s="104"/>
      <c r="E473" s="104"/>
      <c r="F473" s="104"/>
      <c r="G473" s="104"/>
      <c r="H473" s="104"/>
    </row>
    <row r="474" spans="2:8">
      <c r="B474" s="104"/>
      <c r="C474" s="104"/>
      <c r="D474" s="104"/>
      <c r="E474" s="104"/>
      <c r="F474" s="104"/>
      <c r="G474" s="104"/>
      <c r="H474" s="104"/>
    </row>
    <row r="475" spans="2:8">
      <c r="B475" s="104"/>
      <c r="C475" s="104"/>
      <c r="D475" s="104"/>
      <c r="E475" s="104"/>
      <c r="F475" s="104"/>
      <c r="G475" s="104"/>
      <c r="H475" s="104"/>
    </row>
    <row r="476" spans="2:8">
      <c r="B476" s="104"/>
      <c r="C476" s="104"/>
      <c r="D476" s="104"/>
      <c r="E476" s="104"/>
      <c r="F476" s="104"/>
      <c r="G476" s="104"/>
      <c r="H476" s="104"/>
    </row>
    <row r="477" spans="2:8">
      <c r="B477" s="104"/>
      <c r="C477" s="104"/>
      <c r="D477" s="104"/>
      <c r="E477" s="104"/>
      <c r="F477" s="104"/>
      <c r="G477" s="104"/>
      <c r="H477" s="104"/>
    </row>
    <row r="478" spans="2:8">
      <c r="B478" s="104"/>
      <c r="C478" s="104"/>
      <c r="D478" s="104"/>
      <c r="E478" s="104"/>
      <c r="F478" s="104"/>
      <c r="G478" s="104"/>
      <c r="H478" s="104"/>
    </row>
    <row r="479" spans="2:8">
      <c r="B479" s="104"/>
      <c r="C479" s="104"/>
      <c r="D479" s="104"/>
      <c r="E479" s="104"/>
      <c r="F479" s="104"/>
      <c r="G479" s="104"/>
      <c r="H479" s="104"/>
    </row>
    <row r="480" spans="2:8">
      <c r="B480" s="104"/>
      <c r="C480" s="104"/>
      <c r="D480" s="104"/>
      <c r="E480" s="104"/>
      <c r="F480" s="104"/>
      <c r="G480" s="104"/>
      <c r="H480" s="104"/>
    </row>
    <row r="481" spans="2:8">
      <c r="B481" s="104"/>
      <c r="C481" s="104"/>
      <c r="D481" s="104"/>
      <c r="E481" s="104"/>
      <c r="F481" s="104"/>
      <c r="G481" s="104"/>
      <c r="H481" s="104"/>
    </row>
    <row r="482" spans="2:8">
      <c r="B482" s="104"/>
      <c r="C482" s="104"/>
      <c r="D482" s="104"/>
      <c r="E482" s="104"/>
      <c r="F482" s="104"/>
      <c r="G482" s="104"/>
      <c r="H482" s="104"/>
    </row>
    <row r="483" spans="2:8">
      <c r="B483" s="104"/>
      <c r="C483" s="104"/>
      <c r="D483" s="104"/>
      <c r="E483" s="104"/>
      <c r="F483" s="104"/>
      <c r="G483" s="104"/>
      <c r="H483" s="104"/>
    </row>
    <row r="484" spans="2:8">
      <c r="B484" s="104"/>
      <c r="C484" s="104"/>
      <c r="D484" s="104"/>
      <c r="E484" s="104"/>
      <c r="F484" s="104"/>
      <c r="G484" s="104"/>
      <c r="H484" s="104"/>
    </row>
    <row r="485" spans="2:8">
      <c r="B485" s="104"/>
      <c r="C485" s="104"/>
      <c r="D485" s="104"/>
      <c r="E485" s="104"/>
      <c r="F485" s="104"/>
      <c r="G485" s="104"/>
      <c r="H485" s="104"/>
    </row>
    <row r="486" spans="2:8">
      <c r="B486" s="104"/>
      <c r="C486" s="104"/>
      <c r="D486" s="104"/>
      <c r="E486" s="104"/>
      <c r="F486" s="104"/>
      <c r="G486" s="104"/>
      <c r="H486" s="104"/>
    </row>
    <row r="487" spans="2:8">
      <c r="B487" s="104"/>
      <c r="C487" s="104"/>
      <c r="D487" s="104"/>
      <c r="E487" s="104"/>
      <c r="F487" s="104"/>
      <c r="G487" s="104"/>
      <c r="H487" s="104"/>
    </row>
    <row r="488" spans="2:8">
      <c r="B488" s="104"/>
      <c r="C488" s="104"/>
      <c r="D488" s="104"/>
      <c r="E488" s="104"/>
      <c r="F488" s="104"/>
      <c r="G488" s="104"/>
      <c r="H488" s="104"/>
    </row>
    <row r="489" spans="2:8">
      <c r="B489" s="104"/>
      <c r="C489" s="104"/>
      <c r="D489" s="104"/>
      <c r="E489" s="104"/>
      <c r="F489" s="104"/>
      <c r="G489" s="104"/>
      <c r="H489" s="104"/>
    </row>
    <row r="490" spans="2:8">
      <c r="B490" s="104"/>
      <c r="C490" s="104"/>
      <c r="D490" s="104"/>
      <c r="E490" s="104"/>
      <c r="F490" s="104"/>
      <c r="G490" s="104"/>
      <c r="H490" s="104"/>
    </row>
    <row r="491" spans="2:8">
      <c r="B491" s="104"/>
      <c r="C491" s="104"/>
      <c r="D491" s="104"/>
      <c r="E491" s="104"/>
      <c r="F491" s="104"/>
      <c r="G491" s="104"/>
      <c r="H491" s="104"/>
    </row>
    <row r="492" spans="2:8">
      <c r="B492" s="104"/>
      <c r="C492" s="104"/>
      <c r="D492" s="104"/>
      <c r="E492" s="104"/>
      <c r="F492" s="104"/>
      <c r="G492" s="104"/>
      <c r="H492" s="104"/>
    </row>
    <row r="493" spans="2:8">
      <c r="B493" s="104"/>
      <c r="C493" s="104"/>
      <c r="D493" s="104"/>
      <c r="E493" s="104"/>
      <c r="F493" s="104"/>
      <c r="G493" s="104"/>
      <c r="H493" s="104"/>
    </row>
    <row r="494" spans="2:8">
      <c r="B494" s="104"/>
      <c r="C494" s="104"/>
      <c r="D494" s="104"/>
      <c r="E494" s="104"/>
      <c r="F494" s="104"/>
      <c r="G494" s="104"/>
      <c r="H494" s="104"/>
    </row>
    <row r="495" spans="2:8">
      <c r="B495" s="104"/>
      <c r="C495" s="104"/>
      <c r="D495" s="104"/>
      <c r="E495" s="104"/>
      <c r="F495" s="104"/>
      <c r="G495" s="104"/>
      <c r="H495" s="104"/>
    </row>
    <row r="496" spans="2:8">
      <c r="B496" s="104"/>
      <c r="C496" s="104"/>
      <c r="D496" s="104"/>
      <c r="E496" s="104"/>
      <c r="F496" s="104"/>
      <c r="G496" s="104"/>
      <c r="H496" s="104"/>
    </row>
    <row r="497" spans="2:8">
      <c r="B497" s="104"/>
      <c r="C497" s="104"/>
      <c r="D497" s="104"/>
      <c r="E497" s="104"/>
      <c r="F497" s="104"/>
      <c r="G497" s="104"/>
      <c r="H497" s="104"/>
    </row>
    <row r="498" spans="2:8">
      <c r="B498" s="104"/>
      <c r="C498" s="104"/>
      <c r="D498" s="104"/>
      <c r="E498" s="104"/>
      <c r="F498" s="104"/>
      <c r="G498" s="104"/>
      <c r="H498" s="104"/>
    </row>
    <row r="499" spans="2:8">
      <c r="B499" s="104"/>
      <c r="C499" s="104"/>
      <c r="D499" s="104"/>
      <c r="E499" s="104"/>
      <c r="F499" s="104"/>
      <c r="G499" s="104"/>
      <c r="H499" s="104"/>
    </row>
    <row r="500" spans="2:8">
      <c r="B500" s="104"/>
      <c r="C500" s="104"/>
      <c r="D500" s="104"/>
      <c r="E500" s="104"/>
      <c r="F500" s="104"/>
      <c r="G500" s="104"/>
      <c r="H500" s="104"/>
    </row>
    <row r="501" spans="2:8">
      <c r="B501" s="104"/>
      <c r="C501" s="104"/>
      <c r="D501" s="104"/>
      <c r="E501" s="104"/>
      <c r="F501" s="104"/>
      <c r="G501" s="104"/>
      <c r="H501" s="104"/>
    </row>
    <row r="502" spans="2:8">
      <c r="B502" s="104"/>
      <c r="C502" s="104"/>
      <c r="D502" s="104"/>
      <c r="E502" s="104"/>
      <c r="F502" s="104"/>
      <c r="G502" s="104"/>
      <c r="H502" s="104"/>
    </row>
    <row r="503" spans="2:8">
      <c r="B503" s="104"/>
      <c r="C503" s="104"/>
      <c r="D503" s="104"/>
      <c r="E503" s="104"/>
      <c r="F503" s="104"/>
      <c r="G503" s="104"/>
      <c r="H503" s="104"/>
    </row>
    <row r="504" spans="2:8">
      <c r="B504" s="104"/>
      <c r="C504" s="104"/>
      <c r="D504" s="104"/>
      <c r="E504" s="104"/>
      <c r="F504" s="104"/>
      <c r="G504" s="104"/>
      <c r="H504" s="104"/>
    </row>
    <row r="505" spans="2:8">
      <c r="B505" s="104"/>
      <c r="C505" s="104"/>
      <c r="D505" s="104"/>
      <c r="E505" s="104"/>
      <c r="F505" s="104"/>
      <c r="G505" s="104"/>
      <c r="H505" s="104"/>
    </row>
    <row r="506" spans="2:8">
      <c r="B506" s="104"/>
      <c r="C506" s="104"/>
      <c r="D506" s="104"/>
      <c r="E506" s="104"/>
      <c r="F506" s="104"/>
      <c r="G506" s="104"/>
      <c r="H506" s="104"/>
    </row>
    <row r="507" spans="2:8">
      <c r="B507" s="104"/>
      <c r="C507" s="104"/>
      <c r="D507" s="104"/>
      <c r="E507" s="104"/>
      <c r="F507" s="104"/>
      <c r="G507" s="104"/>
      <c r="H507" s="104"/>
    </row>
  </sheetData>
  <mergeCells count="6">
    <mergeCell ref="D1:H3"/>
    <mergeCell ref="A4:C4"/>
    <mergeCell ref="D4:H4"/>
    <mergeCell ref="A5:C5"/>
    <mergeCell ref="D5:G5"/>
    <mergeCell ref="H5:H6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2" orientation="portrait" r:id="rId1"/>
  <headerFooter>
    <oddFooter>&amp;L&amp;"Calibri,Regular"&amp;12&amp;K184782&amp;F&amp;C&amp;"Calibri,Regular"&amp;12&amp;K184782&amp;A&amp;R&amp;"Calibri,Regular"&amp;12&amp;K184782&amp;P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>
    <pageSetUpPr autoPageBreaks="0" fitToPage="1"/>
  </sheetPr>
  <dimension ref="A1:H505"/>
  <sheetViews>
    <sheetView showGridLines="0" zoomScaleNormal="100" workbookViewId="0">
      <pane ySplit="2415" topLeftCell="A199" activePane="bottomLeft"/>
      <selection activeCell="A173" sqref="A173"/>
      <selection pane="bottomLeft" activeCell="I212" sqref="I212"/>
    </sheetView>
  </sheetViews>
  <sheetFormatPr defaultRowHeight="12.75"/>
  <cols>
    <col min="1" max="1" width="13.7109375" style="67" customWidth="1"/>
    <col min="2" max="2" width="13.5703125" style="67" customWidth="1"/>
    <col min="3" max="3" width="10.140625" style="67" customWidth="1"/>
    <col min="4" max="4" width="9.140625" style="67" customWidth="1"/>
    <col min="5" max="5" width="9.140625" style="67"/>
    <col min="6" max="6" width="13.5703125" style="67" bestFit="1" customWidth="1"/>
    <col min="7" max="7" width="12.85546875" style="67" bestFit="1" customWidth="1"/>
    <col min="8" max="8" width="15.7109375" style="67" customWidth="1"/>
    <col min="9" max="16384" width="9.140625" style="67"/>
  </cols>
  <sheetData>
    <row r="1" spans="1:8" ht="16.5" customHeight="1">
      <c r="B1" s="101"/>
      <c r="C1" s="101"/>
      <c r="D1" s="294" t="s">
        <v>251</v>
      </c>
      <c r="E1" s="294"/>
      <c r="F1" s="294"/>
      <c r="G1" s="294"/>
      <c r="H1" s="294"/>
    </row>
    <row r="2" spans="1:8" ht="17.25" customHeight="1">
      <c r="A2" s="101"/>
      <c r="B2" s="101"/>
      <c r="C2" s="101"/>
      <c r="D2" s="294"/>
      <c r="E2" s="294"/>
      <c r="F2" s="294"/>
      <c r="G2" s="294"/>
      <c r="H2" s="294"/>
    </row>
    <row r="3" spans="1:8" ht="21" customHeight="1" thickBot="1">
      <c r="A3" s="101"/>
      <c r="B3" s="101"/>
      <c r="C3" s="101"/>
      <c r="D3" s="306"/>
      <c r="E3" s="306"/>
      <c r="F3" s="306"/>
      <c r="G3" s="306"/>
      <c r="H3" s="306"/>
    </row>
    <row r="4" spans="1:8" s="62" customFormat="1" ht="19.5" thickBot="1">
      <c r="A4" s="307" t="s">
        <v>72</v>
      </c>
      <c r="B4" s="308"/>
      <c r="C4" s="309"/>
      <c r="D4" s="310" t="s">
        <v>61</v>
      </c>
      <c r="E4" s="311"/>
      <c r="F4" s="311"/>
      <c r="G4" s="311" t="s">
        <v>6</v>
      </c>
      <c r="H4" s="312"/>
    </row>
    <row r="5" spans="1:8" s="62" customFormat="1" ht="18" customHeight="1" thickBot="1">
      <c r="A5" s="313" t="s">
        <v>56</v>
      </c>
      <c r="B5" s="314"/>
      <c r="C5" s="315"/>
      <c r="D5" s="298" t="s">
        <v>57</v>
      </c>
      <c r="E5" s="299"/>
      <c r="F5" s="299"/>
      <c r="G5" s="300"/>
      <c r="H5" s="316" t="s">
        <v>58</v>
      </c>
    </row>
    <row r="6" spans="1:8" s="62" customFormat="1" ht="15.75" customHeight="1" thickBot="1">
      <c r="A6" s="126" t="s">
        <v>109</v>
      </c>
      <c r="B6" s="127" t="s">
        <v>111</v>
      </c>
      <c r="C6" s="127" t="s">
        <v>4</v>
      </c>
      <c r="D6" s="127" t="s">
        <v>14</v>
      </c>
      <c r="E6" s="127" t="s">
        <v>15</v>
      </c>
      <c r="F6" s="127" t="s">
        <v>16</v>
      </c>
      <c r="G6" s="127" t="s">
        <v>17</v>
      </c>
      <c r="H6" s="317"/>
    </row>
    <row r="7" spans="1:8" s="102" customFormat="1" ht="16.5" customHeight="1" thickBot="1">
      <c r="A7" s="143" t="s">
        <v>67</v>
      </c>
      <c r="B7" s="141"/>
      <c r="C7" s="141"/>
      <c r="D7" s="141"/>
      <c r="E7" s="141"/>
      <c r="F7" s="141"/>
      <c r="G7" s="141"/>
      <c r="H7" s="142"/>
    </row>
    <row r="8" spans="1:8" ht="15" hidden="1">
      <c r="A8" s="235" t="s">
        <v>113</v>
      </c>
      <c r="B8" s="236">
        <v>1128.0999999999999</v>
      </c>
      <c r="C8" s="219">
        <f>100*B8/B$8</f>
        <v>100</v>
      </c>
      <c r="D8" s="219"/>
      <c r="E8" s="219"/>
      <c r="F8" s="219"/>
      <c r="G8" s="220"/>
      <c r="H8" s="221">
        <f>+B$211/B8</f>
        <v>2.0683928729722547</v>
      </c>
    </row>
    <row r="9" spans="1:8" ht="15" hidden="1">
      <c r="A9" s="237" t="s">
        <v>114</v>
      </c>
      <c r="B9" s="190">
        <v>1203.4000000000001</v>
      </c>
      <c r="C9" s="165">
        <f t="shared" ref="C9:C35" si="0">100*B9/B$8</f>
        <v>106.67494016487902</v>
      </c>
      <c r="D9" s="165">
        <f t="shared" ref="D9:D26" si="1">100*(B9/B8-1)</f>
        <v>6.6749401648790174</v>
      </c>
      <c r="E9" s="165"/>
      <c r="F9" s="165"/>
      <c r="G9" s="225"/>
      <c r="H9" s="174">
        <f>+B$211/B9</f>
        <v>1.9389679242147251</v>
      </c>
    </row>
    <row r="10" spans="1:8" ht="15" hidden="1">
      <c r="A10" s="237" t="s">
        <v>115</v>
      </c>
      <c r="B10" s="190">
        <v>1231</v>
      </c>
      <c r="C10" s="165">
        <f t="shared" si="0"/>
        <v>109.12153177909761</v>
      </c>
      <c r="D10" s="165">
        <f t="shared" si="1"/>
        <v>2.2935017450556705</v>
      </c>
      <c r="E10" s="165"/>
      <c r="F10" s="165"/>
      <c r="G10" s="225"/>
      <c r="H10" s="174">
        <f>+B$211/B10</f>
        <v>1.8954947197400489</v>
      </c>
    </row>
    <row r="11" spans="1:8" ht="15" hidden="1">
      <c r="A11" s="237" t="s">
        <v>116</v>
      </c>
      <c r="B11" s="190">
        <v>1204.54</v>
      </c>
      <c r="C11" s="165">
        <f t="shared" si="0"/>
        <v>106.77599503590108</v>
      </c>
      <c r="D11" s="165">
        <f t="shared" si="1"/>
        <v>-2.1494719740048795</v>
      </c>
      <c r="E11" s="165">
        <f t="shared" ref="E11:E16" si="2">100*(B11/B$10-1)</f>
        <v>-2.1494719740048795</v>
      </c>
      <c r="F11" s="165"/>
      <c r="G11" s="225"/>
      <c r="H11" s="174">
        <f>+B$211/B11</f>
        <v>1.9371328473940261</v>
      </c>
    </row>
    <row r="12" spans="1:8" ht="15" hidden="1">
      <c r="A12" s="237" t="s">
        <v>117</v>
      </c>
      <c r="B12" s="190">
        <v>1183</v>
      </c>
      <c r="C12" s="165">
        <f t="shared" si="0"/>
        <v>104.86658984132613</v>
      </c>
      <c r="D12" s="165">
        <f t="shared" si="1"/>
        <v>-1.7882345127600563</v>
      </c>
      <c r="E12" s="165">
        <f t="shared" si="2"/>
        <v>-3.8992688870836734</v>
      </c>
      <c r="F12" s="226"/>
      <c r="G12" s="185"/>
      <c r="H12" s="174">
        <f>+B$211/B12</f>
        <v>1.9724040574809807</v>
      </c>
    </row>
    <row r="13" spans="1:8" ht="15" hidden="1">
      <c r="A13" s="237" t="s">
        <v>118</v>
      </c>
      <c r="B13" s="190">
        <v>1236.5</v>
      </c>
      <c r="C13" s="165">
        <f t="shared" si="0"/>
        <v>109.60907720946726</v>
      </c>
      <c r="D13" s="165">
        <f t="shared" si="1"/>
        <v>4.5224006762468294</v>
      </c>
      <c r="E13" s="165">
        <f t="shared" si="2"/>
        <v>0.4467912266449936</v>
      </c>
      <c r="F13" s="226"/>
      <c r="G13" s="185"/>
      <c r="H13" s="174">
        <f>+B$211/B13</f>
        <v>1.887063485644966</v>
      </c>
    </row>
    <row r="14" spans="1:8" ht="15" hidden="1">
      <c r="A14" s="237" t="s">
        <v>119</v>
      </c>
      <c r="B14" s="190">
        <v>1253.3800000000001</v>
      </c>
      <c r="C14" s="165">
        <f t="shared" si="0"/>
        <v>111.10539845758358</v>
      </c>
      <c r="D14" s="165">
        <f t="shared" si="1"/>
        <v>1.365143550343717</v>
      </c>
      <c r="E14" s="165">
        <f t="shared" si="2"/>
        <v>1.8180341186027738</v>
      </c>
      <c r="F14" s="226"/>
      <c r="G14" s="185"/>
      <c r="H14" s="174">
        <f>+B$211/B14</f>
        <v>1.8616493002920105</v>
      </c>
    </row>
    <row r="15" spans="1:8" ht="15" hidden="1">
      <c r="A15" s="237" t="s">
        <v>120</v>
      </c>
      <c r="B15" s="190">
        <v>1274.4000000000001</v>
      </c>
      <c r="C15" s="165">
        <f t="shared" si="0"/>
        <v>112.96870844783265</v>
      </c>
      <c r="D15" s="165">
        <f t="shared" si="1"/>
        <v>1.6770652156568699</v>
      </c>
      <c r="E15" s="165">
        <f t="shared" si="2"/>
        <v>3.52558895207149</v>
      </c>
      <c r="F15" s="226"/>
      <c r="G15" s="185"/>
      <c r="H15" s="174">
        <f>+B$211/B15</f>
        <v>1.8309431889516636</v>
      </c>
    </row>
    <row r="16" spans="1:8" ht="15" hidden="1">
      <c r="A16" s="237" t="s">
        <v>121</v>
      </c>
      <c r="B16" s="190">
        <v>1314.6</v>
      </c>
      <c r="C16" s="165">
        <f t="shared" si="0"/>
        <v>116.53222232071626</v>
      </c>
      <c r="D16" s="165">
        <f t="shared" si="1"/>
        <v>3.1544256120527248</v>
      </c>
      <c r="E16" s="165">
        <f t="shared" si="2"/>
        <v>6.7912266450040448</v>
      </c>
      <c r="F16" s="226"/>
      <c r="G16" s="185"/>
      <c r="H16" s="174">
        <f>+B$211/B16</f>
        <v>1.7749535980526399</v>
      </c>
    </row>
    <row r="17" spans="1:8" ht="15" hidden="1">
      <c r="A17" s="237" t="s">
        <v>122</v>
      </c>
      <c r="B17" s="190">
        <v>1322</v>
      </c>
      <c r="C17" s="165">
        <f t="shared" si="0"/>
        <v>117.1881925361227</v>
      </c>
      <c r="D17" s="165">
        <f t="shared" si="1"/>
        <v>0.56290886961813946</v>
      </c>
      <c r="E17" s="165">
        <f t="shared" ref="E17:E22" si="3">100*(B17/B$10-1)</f>
        <v>7.3923639317627909</v>
      </c>
      <c r="F17" s="226"/>
      <c r="G17" s="185"/>
      <c r="H17" s="174">
        <f>+B$211/B17</f>
        <v>1.7650181543116492</v>
      </c>
    </row>
    <row r="18" spans="1:8" ht="15" hidden="1">
      <c r="A18" s="237" t="s">
        <v>123</v>
      </c>
      <c r="B18" s="190">
        <v>1316.2</v>
      </c>
      <c r="C18" s="165">
        <f t="shared" si="0"/>
        <v>116.67405371864197</v>
      </c>
      <c r="D18" s="165">
        <f t="shared" si="1"/>
        <v>-0.43872919818456202</v>
      </c>
      <c r="E18" s="165">
        <f t="shared" si="3"/>
        <v>6.9212022745735124</v>
      </c>
      <c r="F18" s="226"/>
      <c r="G18" s="185"/>
      <c r="H18" s="174">
        <f>+B$211/B18</f>
        <v>1.7727959276705669</v>
      </c>
    </row>
    <row r="19" spans="1:8" ht="15" hidden="1">
      <c r="A19" s="237" t="s">
        <v>124</v>
      </c>
      <c r="B19" s="190">
        <v>1299.76</v>
      </c>
      <c r="C19" s="165">
        <f t="shared" si="0"/>
        <v>115.21673610495525</v>
      </c>
      <c r="D19" s="165">
        <f t="shared" si="1"/>
        <v>-1.2490502963075523</v>
      </c>
      <c r="E19" s="165">
        <f t="shared" si="3"/>
        <v>5.585702680747362</v>
      </c>
      <c r="F19" s="226"/>
      <c r="G19" s="185"/>
      <c r="H19" s="174">
        <f>+B$211/B19</f>
        <v>1.7952191173755156</v>
      </c>
    </row>
    <row r="20" spans="1:8" ht="15" hidden="1">
      <c r="A20" s="237" t="s">
        <v>125</v>
      </c>
      <c r="B20" s="190">
        <v>1289.2</v>
      </c>
      <c r="C20" s="165">
        <f t="shared" si="0"/>
        <v>114.28064887864552</v>
      </c>
      <c r="D20" s="165">
        <f t="shared" si="1"/>
        <v>-0.8124576844955933</v>
      </c>
      <c r="E20" s="165">
        <f t="shared" si="3"/>
        <v>4.7278635255889601</v>
      </c>
      <c r="F20" s="226">
        <f>(100*(B20/B8-1))</f>
        <v>14.280648878645529</v>
      </c>
      <c r="G20" s="185"/>
      <c r="H20" s="174">
        <f>+B$211/B20</f>
        <v>1.8099239838659635</v>
      </c>
    </row>
    <row r="21" spans="1:8" ht="15" hidden="1">
      <c r="A21" s="237" t="s">
        <v>126</v>
      </c>
      <c r="B21" s="190">
        <v>1344.44</v>
      </c>
      <c r="C21" s="165">
        <f t="shared" si="0"/>
        <v>119.17737789203086</v>
      </c>
      <c r="D21" s="165">
        <f t="shared" si="1"/>
        <v>4.2848278001861528</v>
      </c>
      <c r="E21" s="165">
        <f t="shared" si="3"/>
        <v>9.2152721364744181</v>
      </c>
      <c r="F21" s="226">
        <f t="shared" ref="F21:F32" si="4">(100*(B21/B9-1))</f>
        <v>11.720126308791755</v>
      </c>
      <c r="G21" s="185"/>
      <c r="H21" s="174">
        <f>+B$211/B21</f>
        <v>1.735558299366279</v>
      </c>
    </row>
    <row r="22" spans="1:8" ht="15" hidden="1">
      <c r="A22" s="237" t="s">
        <v>127</v>
      </c>
      <c r="B22" s="190">
        <v>1311.82</v>
      </c>
      <c r="C22" s="165">
        <f t="shared" si="0"/>
        <v>116.28579026682033</v>
      </c>
      <c r="D22" s="165">
        <f t="shared" si="1"/>
        <v>-2.4262890125256731</v>
      </c>
      <c r="E22" s="165">
        <f t="shared" si="3"/>
        <v>6.5653939886271218</v>
      </c>
      <c r="F22" s="226">
        <f t="shared" si="4"/>
        <v>6.5653939886271218</v>
      </c>
      <c r="G22" s="185"/>
      <c r="H22" s="174">
        <f>+B$211/B22</f>
        <v>1.7787150676159842</v>
      </c>
    </row>
    <row r="23" spans="1:8" ht="15" hidden="1">
      <c r="A23" s="237" t="s">
        <v>128</v>
      </c>
      <c r="B23" s="190">
        <v>1379.62</v>
      </c>
      <c r="C23" s="165">
        <f t="shared" si="0"/>
        <v>122.29589575392254</v>
      </c>
      <c r="D23" s="165">
        <f t="shared" si="1"/>
        <v>5.1683920050006771</v>
      </c>
      <c r="E23" s="165">
        <f t="shared" ref="E23:E29" si="5">100*(B23/B$22-1)</f>
        <v>5.1683920050006771</v>
      </c>
      <c r="F23" s="226">
        <f t="shared" si="4"/>
        <v>14.535009215136064</v>
      </c>
      <c r="G23" s="185"/>
      <c r="H23" s="174">
        <f>+B$211/B23</f>
        <v>1.6913019527116167</v>
      </c>
    </row>
    <row r="24" spans="1:8" ht="15" hidden="1">
      <c r="A24" s="237" t="s">
        <v>129</v>
      </c>
      <c r="B24" s="190">
        <v>1394.82</v>
      </c>
      <c r="C24" s="165">
        <f t="shared" si="0"/>
        <v>123.64329403421684</v>
      </c>
      <c r="D24" s="165">
        <f t="shared" si="1"/>
        <v>1.1017526565286095</v>
      </c>
      <c r="E24" s="165">
        <f t="shared" si="5"/>
        <v>6.3270875577442043</v>
      </c>
      <c r="F24" s="226">
        <f t="shared" si="4"/>
        <v>17.905325443786978</v>
      </c>
      <c r="G24" s="185"/>
      <c r="H24" s="174">
        <f>+B$211/B24</f>
        <v>1.6728710514618377</v>
      </c>
    </row>
    <row r="25" spans="1:8" ht="15" hidden="1">
      <c r="A25" s="237" t="s">
        <v>130</v>
      </c>
      <c r="B25" s="190">
        <v>1430</v>
      </c>
      <c r="C25" s="165">
        <f t="shared" si="0"/>
        <v>126.76181189610851</v>
      </c>
      <c r="D25" s="165">
        <f t="shared" si="1"/>
        <v>2.5221892430564496</v>
      </c>
      <c r="E25" s="165">
        <f t="shared" si="5"/>
        <v>9.0088579225808374</v>
      </c>
      <c r="F25" s="226">
        <f t="shared" si="4"/>
        <v>15.649009300444794</v>
      </c>
      <c r="G25" s="185"/>
      <c r="H25" s="174">
        <f>+B$211/B25</f>
        <v>1.631716083916084</v>
      </c>
    </row>
    <row r="26" spans="1:8" ht="15" hidden="1">
      <c r="A26" s="237" t="s">
        <v>131</v>
      </c>
      <c r="B26" s="190">
        <v>1466</v>
      </c>
      <c r="C26" s="165">
        <f t="shared" si="0"/>
        <v>129.95301834943712</v>
      </c>
      <c r="D26" s="165">
        <f t="shared" si="1"/>
        <v>2.5174825174825166</v>
      </c>
      <c r="E26" s="165">
        <f t="shared" si="5"/>
        <v>11.753136863289182</v>
      </c>
      <c r="F26" s="226">
        <f t="shared" si="4"/>
        <v>16.963730073880214</v>
      </c>
      <c r="G26" s="185"/>
      <c r="H26" s="174">
        <f>+B$211/B26</f>
        <v>1.5916466575716237</v>
      </c>
    </row>
    <row r="27" spans="1:8" ht="15" hidden="1">
      <c r="A27" s="237" t="s">
        <v>132</v>
      </c>
      <c r="B27" s="190">
        <v>1418</v>
      </c>
      <c r="C27" s="165">
        <f t="shared" si="0"/>
        <v>125.69807641166564</v>
      </c>
      <c r="D27" s="165">
        <f t="shared" ref="D27:D32" si="6">100*(B27/B26-1)</f>
        <v>-3.2742155525238736</v>
      </c>
      <c r="E27" s="165">
        <f t="shared" si="5"/>
        <v>8.0940982756780642</v>
      </c>
      <c r="F27" s="226">
        <f t="shared" si="4"/>
        <v>11.268047708725671</v>
      </c>
      <c r="G27" s="185"/>
      <c r="H27" s="174">
        <f>+B$211/B27</f>
        <v>1.6455246826516221</v>
      </c>
    </row>
    <row r="28" spans="1:8" ht="15" hidden="1">
      <c r="A28" s="237" t="s">
        <v>133</v>
      </c>
      <c r="B28" s="190">
        <v>1400.38</v>
      </c>
      <c r="C28" s="165">
        <f t="shared" si="0"/>
        <v>124.1361581420087</v>
      </c>
      <c r="D28" s="165">
        <f t="shared" si="6"/>
        <v>-1.242595204513397</v>
      </c>
      <c r="E28" s="165">
        <f t="shared" si="5"/>
        <v>6.7509261941425036</v>
      </c>
      <c r="F28" s="226">
        <f t="shared" si="4"/>
        <v>6.525178761600503</v>
      </c>
      <c r="G28" s="185"/>
      <c r="H28" s="174">
        <f>+B$211/B28</f>
        <v>1.6662291663691284</v>
      </c>
    </row>
    <row r="29" spans="1:8" ht="15" hidden="1">
      <c r="A29" s="237" t="s">
        <v>134</v>
      </c>
      <c r="B29" s="190">
        <v>1412</v>
      </c>
      <c r="C29" s="165">
        <f t="shared" si="0"/>
        <v>125.1662086694442</v>
      </c>
      <c r="D29" s="165">
        <f t="shared" si="6"/>
        <v>0.82977477541810174</v>
      </c>
      <c r="E29" s="165">
        <f t="shared" si="5"/>
        <v>7.6367184522266873</v>
      </c>
      <c r="F29" s="226">
        <f t="shared" si="4"/>
        <v>6.8078668683812404</v>
      </c>
      <c r="G29" s="185"/>
      <c r="H29" s="174">
        <f>+B$211/B29</f>
        <v>1.652516997167139</v>
      </c>
    </row>
    <row r="30" spans="1:8" ht="15" hidden="1">
      <c r="A30" s="237" t="s">
        <v>135</v>
      </c>
      <c r="B30" s="190">
        <v>1344.91</v>
      </c>
      <c r="C30" s="165">
        <f t="shared" si="0"/>
        <v>119.21904086517154</v>
      </c>
      <c r="D30" s="165">
        <f t="shared" si="6"/>
        <v>-4.7514164305948903</v>
      </c>
      <c r="E30" s="165">
        <f>100*(B30/B$22-1)</f>
        <v>2.5224497263344192</v>
      </c>
      <c r="F30" s="226">
        <f t="shared" si="4"/>
        <v>2.1812794408144764</v>
      </c>
      <c r="G30" s="185"/>
      <c r="H30" s="174">
        <f>+B$211/B30</f>
        <v>1.7349517811600776</v>
      </c>
    </row>
    <row r="31" spans="1:8" ht="15" hidden="1">
      <c r="A31" s="237" t="s">
        <v>136</v>
      </c>
      <c r="B31" s="190">
        <v>1327</v>
      </c>
      <c r="C31" s="165">
        <f t="shared" si="0"/>
        <v>117.63141565464055</v>
      </c>
      <c r="D31" s="165">
        <f t="shared" si="6"/>
        <v>-1.3316876222200791</v>
      </c>
      <c r="E31" s="165">
        <f>100*(B31/B$22-1)</f>
        <v>1.1571709533320096</v>
      </c>
      <c r="F31" s="226">
        <f t="shared" si="4"/>
        <v>2.0957715270511379</v>
      </c>
      <c r="G31" s="185"/>
      <c r="H31" s="174">
        <f>+B$211/B31</f>
        <v>1.7583677467972874</v>
      </c>
    </row>
    <row r="32" spans="1:8" ht="15" hidden="1">
      <c r="A32" s="237" t="s">
        <v>137</v>
      </c>
      <c r="B32" s="190">
        <v>1396.54</v>
      </c>
      <c r="C32" s="165">
        <f t="shared" si="0"/>
        <v>123.79576278698698</v>
      </c>
      <c r="D32" s="165">
        <f t="shared" si="6"/>
        <v>5.2403918613413758</v>
      </c>
      <c r="E32" s="165">
        <f>100*(B32/B$22-1)</f>
        <v>6.4582031071336088</v>
      </c>
      <c r="F32" s="226">
        <f t="shared" si="4"/>
        <v>8.3260937015203105</v>
      </c>
      <c r="G32" s="185">
        <f t="shared" ref="G32:G37" si="7">100*(B32/B8-1)</f>
        <v>23.795762786986984</v>
      </c>
      <c r="H32" s="174">
        <f>+B$211/B32</f>
        <v>1.6708107179171383</v>
      </c>
    </row>
    <row r="33" spans="1:8" ht="15" hidden="1">
      <c r="A33" s="237" t="s">
        <v>138</v>
      </c>
      <c r="B33" s="190">
        <v>1367.33</v>
      </c>
      <c r="C33" s="165">
        <f t="shared" si="0"/>
        <v>121.20645332860563</v>
      </c>
      <c r="D33" s="165">
        <f t="shared" ref="D33:D38" si="8">100*(B33/B32-1)</f>
        <v>-2.0915978060062734</v>
      </c>
      <c r="E33" s="165">
        <f>100*(B33/B$22-1)</f>
        <v>4.2315256666310974</v>
      </c>
      <c r="F33" s="226">
        <f t="shared" ref="F33:F38" si="9">(100*(B33/B21-1))</f>
        <v>1.7025676117937483</v>
      </c>
      <c r="G33" s="185">
        <f t="shared" si="7"/>
        <v>13.622236995180304</v>
      </c>
      <c r="H33" s="174">
        <f>+B$211/B33</f>
        <v>1.7065039163918003</v>
      </c>
    </row>
    <row r="34" spans="1:8" ht="15" hidden="1">
      <c r="A34" s="237" t="s">
        <v>139</v>
      </c>
      <c r="B34" s="190">
        <v>1363.9</v>
      </c>
      <c r="C34" s="165">
        <f t="shared" si="0"/>
        <v>120.90240226930237</v>
      </c>
      <c r="D34" s="165">
        <f t="shared" si="8"/>
        <v>-0.25085385386116599</v>
      </c>
      <c r="E34" s="165">
        <f>100*(B34/B$22-1)</f>
        <v>3.9700568675580694</v>
      </c>
      <c r="F34" s="226">
        <f t="shared" si="9"/>
        <v>3.9700568675580694</v>
      </c>
      <c r="G34" s="185">
        <f t="shared" si="7"/>
        <v>10.796100731112922</v>
      </c>
      <c r="H34" s="174">
        <f>+B$211/B34</f>
        <v>1.7107955128675123</v>
      </c>
    </row>
    <row r="35" spans="1:8" ht="15" hidden="1">
      <c r="A35" s="237" t="s">
        <v>140</v>
      </c>
      <c r="B35" s="190">
        <v>1344.29</v>
      </c>
      <c r="C35" s="165">
        <f t="shared" si="0"/>
        <v>119.16408119847532</v>
      </c>
      <c r="D35" s="165">
        <f t="shared" si="8"/>
        <v>-1.4377886941858042</v>
      </c>
      <c r="E35" s="165">
        <f t="shared" ref="E35:E40" si="10">100*(B35/B$34-1)</f>
        <v>-1.4377886941858042</v>
      </c>
      <c r="F35" s="226">
        <f t="shared" si="9"/>
        <v>-2.5608500891549757</v>
      </c>
      <c r="G35" s="185">
        <f t="shared" si="7"/>
        <v>11.601939329536592</v>
      </c>
      <c r="H35" s="174">
        <f>+B$211/B35</f>
        <v>1.7357519582828111</v>
      </c>
    </row>
    <row r="36" spans="1:8" ht="15" hidden="1">
      <c r="A36" s="237" t="s">
        <v>141</v>
      </c>
      <c r="B36" s="190">
        <v>1344</v>
      </c>
      <c r="C36" s="165">
        <f t="shared" ref="C36:C106" si="11">100*B36/B$8</f>
        <v>119.13837425760128</v>
      </c>
      <c r="D36" s="165">
        <f t="shared" si="8"/>
        <v>-2.1572726123075814E-2</v>
      </c>
      <c r="E36" s="165">
        <f t="shared" si="10"/>
        <v>-1.4590512500916586</v>
      </c>
      <c r="F36" s="226">
        <f t="shared" si="9"/>
        <v>-3.6434808792532358</v>
      </c>
      <c r="G36" s="185">
        <f t="shared" si="7"/>
        <v>13.609467455621305</v>
      </c>
      <c r="H36" s="174">
        <f>+B$211/B36</f>
        <v>1.7361264880952383</v>
      </c>
    </row>
    <row r="37" spans="1:8" ht="15" hidden="1">
      <c r="A37" s="237" t="s">
        <v>142</v>
      </c>
      <c r="B37" s="190">
        <v>1326.75</v>
      </c>
      <c r="C37" s="165">
        <f t="shared" si="11"/>
        <v>117.60925449871466</v>
      </c>
      <c r="D37" s="165">
        <f t="shared" si="8"/>
        <v>-1.2834821428571397</v>
      </c>
      <c r="E37" s="165">
        <f t="shared" si="10"/>
        <v>-2.7238067306987412</v>
      </c>
      <c r="F37" s="226">
        <f t="shared" si="9"/>
        <v>-7.2202797202797209</v>
      </c>
      <c r="G37" s="185">
        <f t="shared" si="7"/>
        <v>7.2988273352203814</v>
      </c>
      <c r="H37" s="174">
        <f>+B$211/B37</f>
        <v>1.7586990766911628</v>
      </c>
    </row>
    <row r="38" spans="1:8" ht="15" hidden="1">
      <c r="A38" s="237" t="s">
        <v>143</v>
      </c>
      <c r="B38" s="190">
        <v>1301.17</v>
      </c>
      <c r="C38" s="165">
        <f t="shared" si="11"/>
        <v>115.34172502437728</v>
      </c>
      <c r="D38" s="165">
        <f t="shared" si="8"/>
        <v>-1.9280195967589897</v>
      </c>
      <c r="E38" s="165">
        <f t="shared" si="10"/>
        <v>-4.5993107999120149</v>
      </c>
      <c r="F38" s="226">
        <f t="shared" si="9"/>
        <v>-11.243519781718959</v>
      </c>
      <c r="G38" s="185">
        <f t="shared" ref="G38:G43" si="12">100*(B38/B14-1)</f>
        <v>3.8128899455871279</v>
      </c>
      <c r="H38" s="174">
        <f>+B$211/B38</f>
        <v>1.7932737459363497</v>
      </c>
    </row>
    <row r="39" spans="1:8" ht="15" hidden="1">
      <c r="A39" s="237" t="s">
        <v>144</v>
      </c>
      <c r="B39" s="190">
        <v>1303.6300000000001</v>
      </c>
      <c r="C39" s="165">
        <f t="shared" si="11"/>
        <v>115.55979079868808</v>
      </c>
      <c r="D39" s="165">
        <f t="shared" ref="D39:D44" si="13">100*(B39/B38-1)</f>
        <v>0.18906061467756086</v>
      </c>
      <c r="E39" s="165">
        <f t="shared" si="10"/>
        <v>-4.4189456705037049</v>
      </c>
      <c r="F39" s="226">
        <f t="shared" ref="F39:F44" si="14">(100*(B39/B27-1))</f>
        <v>-8.0655853314527413</v>
      </c>
      <c r="G39" s="185">
        <f t="shared" si="12"/>
        <v>2.2936283741368468</v>
      </c>
      <c r="H39" s="174">
        <f>+B$211/B39</f>
        <v>1.7898897693363915</v>
      </c>
    </row>
    <row r="40" spans="1:8" ht="15" hidden="1">
      <c r="A40" s="237" t="s">
        <v>145</v>
      </c>
      <c r="B40" s="190">
        <v>1262</v>
      </c>
      <c r="C40" s="165">
        <f t="shared" si="11"/>
        <v>111.86951511390835</v>
      </c>
      <c r="D40" s="165">
        <f t="shared" si="13"/>
        <v>-3.1933907627164193</v>
      </c>
      <c r="E40" s="165">
        <f t="shared" si="10"/>
        <v>-7.4712222303688014</v>
      </c>
      <c r="F40" s="226">
        <f t="shared" si="14"/>
        <v>-9.8816035647467224</v>
      </c>
      <c r="G40" s="185">
        <f t="shared" si="12"/>
        <v>-4.001217100258625</v>
      </c>
      <c r="H40" s="174">
        <f>+B$211/B40</f>
        <v>1.848933438985737</v>
      </c>
    </row>
    <row r="41" spans="1:8" ht="15" hidden="1">
      <c r="A41" s="237" t="s">
        <v>146</v>
      </c>
      <c r="B41" s="190">
        <v>1243.5</v>
      </c>
      <c r="C41" s="165">
        <f t="shared" si="11"/>
        <v>110.22958957539227</v>
      </c>
      <c r="D41" s="165">
        <f t="shared" si="13"/>
        <v>-1.4659270998415241</v>
      </c>
      <c r="E41" s="165">
        <f t="shared" ref="E41:E46" si="15">100*(B41/B$34-1)</f>
        <v>-8.8276266588459666</v>
      </c>
      <c r="F41" s="226">
        <f t="shared" si="14"/>
        <v>-11.933427762039662</v>
      </c>
      <c r="G41" s="185">
        <f t="shared" si="12"/>
        <v>-5.9379727685325285</v>
      </c>
      <c r="H41" s="174">
        <f>+B$211/B41</f>
        <v>1.876440691596301</v>
      </c>
    </row>
    <row r="42" spans="1:8" ht="15" hidden="1">
      <c r="A42" s="237" t="s">
        <v>147</v>
      </c>
      <c r="B42" s="190">
        <v>1310.43</v>
      </c>
      <c r="C42" s="165">
        <f t="shared" si="11"/>
        <v>116.16257423987236</v>
      </c>
      <c r="D42" s="165">
        <f t="shared" si="13"/>
        <v>5.3823884197828686</v>
      </c>
      <c r="E42" s="165">
        <f t="shared" si="15"/>
        <v>-3.9203753940904806</v>
      </c>
      <c r="F42" s="226">
        <f t="shared" si="14"/>
        <v>-2.5637403246313917</v>
      </c>
      <c r="G42" s="185">
        <f t="shared" si="12"/>
        <v>-0.43838322443398026</v>
      </c>
      <c r="H42" s="174">
        <f>+B$211/B42</f>
        <v>1.7806017871996216</v>
      </c>
    </row>
    <row r="43" spans="1:8" ht="15" hidden="1">
      <c r="A43" s="237" t="s">
        <v>148</v>
      </c>
      <c r="B43" s="190">
        <v>1232.71</v>
      </c>
      <c r="C43" s="165">
        <f t="shared" si="11"/>
        <v>109.27311408563071</v>
      </c>
      <c r="D43" s="183">
        <f t="shared" si="13"/>
        <v>-5.9308776508474326</v>
      </c>
      <c r="E43" s="183">
        <f t="shared" si="15"/>
        <v>-9.6187403768604796</v>
      </c>
      <c r="F43" s="184">
        <f t="shared" si="14"/>
        <v>-7.1055011303692517</v>
      </c>
      <c r="G43" s="185">
        <f t="shared" si="12"/>
        <v>-5.1586446728626782</v>
      </c>
      <c r="H43" s="174">
        <f>+B$211/B43</f>
        <v>1.8928653130095483</v>
      </c>
    </row>
    <row r="44" spans="1:8" ht="15" hidden="1">
      <c r="A44" s="237" t="s">
        <v>149</v>
      </c>
      <c r="B44" s="190">
        <v>1243.57</v>
      </c>
      <c r="C44" s="165">
        <f t="shared" si="11"/>
        <v>110.23579469905151</v>
      </c>
      <c r="D44" s="183">
        <f t="shared" si="13"/>
        <v>0.88098579552366996</v>
      </c>
      <c r="E44" s="183">
        <f t="shared" si="15"/>
        <v>-8.8224943177652388</v>
      </c>
      <c r="F44" s="184">
        <f t="shared" si="14"/>
        <v>-10.953499362710705</v>
      </c>
      <c r="G44" s="185">
        <f t="shared" ref="G44:G49" si="16">100*(B44/B20-1)</f>
        <v>-3.5394042817251115</v>
      </c>
      <c r="H44" s="174">
        <f>+B$211/B44</f>
        <v>1.8763350675876713</v>
      </c>
    </row>
    <row r="45" spans="1:8" ht="15" hidden="1">
      <c r="A45" s="237" t="s">
        <v>150</v>
      </c>
      <c r="B45" s="190">
        <v>1258.06</v>
      </c>
      <c r="C45" s="165">
        <f t="shared" si="11"/>
        <v>111.52025529651628</v>
      </c>
      <c r="D45" s="183">
        <f t="shared" ref="D45:D50" si="17">100*(B45/B44-1)</f>
        <v>1.1651937566843795</v>
      </c>
      <c r="E45" s="183">
        <f t="shared" si="15"/>
        <v>-7.7600997140552908</v>
      </c>
      <c r="F45" s="184">
        <f t="shared" ref="F45:F50" si="18">(100*(B45/B33-1))</f>
        <v>-7.9914870587202813</v>
      </c>
      <c r="G45" s="185">
        <f t="shared" si="16"/>
        <v>-6.4249799172889865</v>
      </c>
      <c r="H45" s="174">
        <f>+B$211/B45</f>
        <v>1.8547239400346569</v>
      </c>
    </row>
    <row r="46" spans="1:8" ht="15" hidden="1">
      <c r="A46" s="237" t="s">
        <v>151</v>
      </c>
      <c r="B46" s="190">
        <v>1203</v>
      </c>
      <c r="C46" s="165">
        <f t="shared" si="11"/>
        <v>106.63948231539759</v>
      </c>
      <c r="D46" s="183">
        <f t="shared" si="17"/>
        <v>-4.3765798133634242</v>
      </c>
      <c r="E46" s="183">
        <f t="shared" si="15"/>
        <v>-11.797052569836508</v>
      </c>
      <c r="F46" s="184">
        <f t="shared" si="18"/>
        <v>-11.797052569836508</v>
      </c>
      <c r="G46" s="185">
        <f t="shared" si="16"/>
        <v>-8.2953453979966678</v>
      </c>
      <c r="H46" s="174">
        <f>+B$211/B46</f>
        <v>1.9396126350789695</v>
      </c>
    </row>
    <row r="47" spans="1:8" ht="15" hidden="1">
      <c r="A47" s="237" t="s">
        <v>152</v>
      </c>
      <c r="B47" s="248">
        <v>1260.67</v>
      </c>
      <c r="C47" s="224">
        <f t="shared" si="11"/>
        <v>111.7516177643826</v>
      </c>
      <c r="D47" s="249">
        <f t="shared" si="17"/>
        <v>4.7938487115544604</v>
      </c>
      <c r="E47" s="249">
        <f t="shared" ref="E47:E52" si="19">100*(B47/B$42-1)</f>
        <v>-3.7972268644643314</v>
      </c>
      <c r="F47" s="250">
        <f t="shared" si="18"/>
        <v>-6.2203839945249806</v>
      </c>
      <c r="G47" s="251">
        <f t="shared" si="16"/>
        <v>-8.6219393746103883</v>
      </c>
      <c r="H47" s="174">
        <f>+B$211/B47</f>
        <v>1.8508840537174678</v>
      </c>
    </row>
    <row r="48" spans="1:8" ht="15" hidden="1">
      <c r="A48" s="237" t="s">
        <v>153</v>
      </c>
      <c r="B48" s="190">
        <v>1223.75</v>
      </c>
      <c r="C48" s="165">
        <f t="shared" si="11"/>
        <v>108.47885825724671</v>
      </c>
      <c r="D48" s="183">
        <f t="shared" si="17"/>
        <v>-2.9286014579549047</v>
      </c>
      <c r="E48" s="183">
        <f t="shared" si="19"/>
        <v>-6.6146226811046756</v>
      </c>
      <c r="F48" s="184">
        <f t="shared" si="18"/>
        <v>-8.9471726190476168</v>
      </c>
      <c r="G48" s="185">
        <f t="shared" si="16"/>
        <v>-12.264664974692074</v>
      </c>
      <c r="H48" s="174">
        <f>+B$211/B48</f>
        <v>1.9067244126659859</v>
      </c>
    </row>
    <row r="49" spans="1:8" ht="15" hidden="1">
      <c r="A49" s="237" t="s">
        <v>154</v>
      </c>
      <c r="B49" s="190">
        <v>1193.5999999999999</v>
      </c>
      <c r="C49" s="252">
        <f t="shared" si="11"/>
        <v>105.80622285258399</v>
      </c>
      <c r="D49" s="253">
        <f t="shared" si="17"/>
        <v>-2.4637385086823338</v>
      </c>
      <c r="E49" s="183">
        <f t="shared" si="19"/>
        <v>-8.9153941835886101</v>
      </c>
      <c r="F49" s="254">
        <f t="shared" si="18"/>
        <v>-10.035801771245534</v>
      </c>
      <c r="G49" s="185">
        <f t="shared" si="16"/>
        <v>-16.531468531468541</v>
      </c>
      <c r="H49" s="174">
        <f>+B$211/B49</f>
        <v>1.9548877345844509</v>
      </c>
    </row>
    <row r="50" spans="1:8" ht="15" hidden="1">
      <c r="A50" s="237" t="s">
        <v>155</v>
      </c>
      <c r="B50" s="190">
        <v>1236.67</v>
      </c>
      <c r="C50" s="165">
        <f t="shared" si="11"/>
        <v>109.62414679549686</v>
      </c>
      <c r="D50" s="183">
        <f t="shared" si="17"/>
        <v>3.6084115281501461</v>
      </c>
      <c r="E50" s="183">
        <f t="shared" si="19"/>
        <v>-5.6286867669390954</v>
      </c>
      <c r="F50" s="184">
        <f t="shared" si="18"/>
        <v>-4.9570770921555258</v>
      </c>
      <c r="G50" s="185">
        <f t="shared" ref="G50:G77" si="20">100*(B50/B26-1)</f>
        <v>-15.643246930422915</v>
      </c>
      <c r="H50" s="174">
        <f>+B$211/B50</f>
        <v>1.8868040786952058</v>
      </c>
    </row>
    <row r="51" spans="1:8" ht="15" hidden="1">
      <c r="A51" s="237" t="s">
        <v>156</v>
      </c>
      <c r="B51" s="248">
        <v>1220</v>
      </c>
      <c r="C51" s="224">
        <f t="shared" si="11"/>
        <v>108.14644091835831</v>
      </c>
      <c r="D51" s="249">
        <f>100*(B51/B50-1)</f>
        <v>-1.3479748033024208</v>
      </c>
      <c r="E51" s="249">
        <f t="shared" si="19"/>
        <v>-6.900788290866366</v>
      </c>
      <c r="F51" s="250">
        <f t="shared" ref="F51:F64" si="21">(100*(B51/B39-1))</f>
        <v>-6.4151638118177807</v>
      </c>
      <c r="G51" s="251">
        <f t="shared" si="20"/>
        <v>-13.963328631875882</v>
      </c>
      <c r="H51" s="174">
        <f>+B$211/B51</f>
        <v>1.9125852459016395</v>
      </c>
    </row>
    <row r="52" spans="1:8" ht="15" hidden="1">
      <c r="A52" s="237" t="s">
        <v>157</v>
      </c>
      <c r="B52" s="190">
        <v>1217.5</v>
      </c>
      <c r="C52" s="165">
        <f t="shared" si="11"/>
        <v>107.92482935909938</v>
      </c>
      <c r="D52" s="183">
        <f>100*(B52/B51-1)</f>
        <v>-0.2049180327868827</v>
      </c>
      <c r="E52" s="183">
        <f t="shared" si="19"/>
        <v>-7.0915653640408198</v>
      </c>
      <c r="F52" s="184">
        <f t="shared" si="21"/>
        <v>-3.5261489698890647</v>
      </c>
      <c r="G52" s="185">
        <f t="shared" si="20"/>
        <v>-13.059312472328944</v>
      </c>
      <c r="H52" s="174">
        <f>+B$211/B52</f>
        <v>1.9165125256673514</v>
      </c>
    </row>
    <row r="53" spans="1:8" ht="15" hidden="1">
      <c r="A53" s="237" t="s">
        <v>158</v>
      </c>
      <c r="B53" s="190">
        <v>1266.6666666666667</v>
      </c>
      <c r="C53" s="165">
        <f t="shared" si="11"/>
        <v>112.28319002452503</v>
      </c>
      <c r="D53" s="183">
        <f>100*(B53/B52-1)</f>
        <v>4.0383299110198667</v>
      </c>
      <c r="E53" s="183">
        <f t="shared" ref="E53:E58" si="22">100*(B53/B$42-1)</f>
        <v>-3.3396162582765454</v>
      </c>
      <c r="F53" s="184">
        <f t="shared" si="21"/>
        <v>1.8630210427556637</v>
      </c>
      <c r="G53" s="185">
        <f t="shared" si="20"/>
        <v>-10.292728989612831</v>
      </c>
      <c r="H53" s="174">
        <f>+B$211/B53</f>
        <v>1.8421215789473686</v>
      </c>
    </row>
    <row r="54" spans="1:8" ht="15" hidden="1">
      <c r="A54" s="237" t="s">
        <v>159</v>
      </c>
      <c r="B54" s="190">
        <v>1277.5</v>
      </c>
      <c r="C54" s="165">
        <f t="shared" si="11"/>
        <v>113.24350678131373</v>
      </c>
      <c r="D54" s="183">
        <f t="shared" ref="D54:D59" si="23">100*(B54/B53-1)</f>
        <v>0.85526315789472562</v>
      </c>
      <c r="E54" s="183">
        <f t="shared" si="22"/>
        <v>-2.5129156078539161</v>
      </c>
      <c r="F54" s="184">
        <f t="shared" si="21"/>
        <v>-2.5129156078539161</v>
      </c>
      <c r="G54" s="185">
        <f t="shared" si="20"/>
        <v>-5.0122313017228031</v>
      </c>
      <c r="H54" s="174">
        <f>+B$211/B54</f>
        <v>1.8265001956947164</v>
      </c>
    </row>
    <row r="55" spans="1:8" ht="15" hidden="1">
      <c r="A55" s="237" t="s">
        <v>160</v>
      </c>
      <c r="B55" s="190">
        <v>1256.2</v>
      </c>
      <c r="C55" s="165">
        <f t="shared" si="11"/>
        <v>111.35537629642764</v>
      </c>
      <c r="D55" s="183">
        <f t="shared" si="23"/>
        <v>-1.6673189823874668</v>
      </c>
      <c r="E55" s="183">
        <f t="shared" si="22"/>
        <v>-4.1383362713002576</v>
      </c>
      <c r="F55" s="184">
        <f t="shared" si="21"/>
        <v>1.9055576737432078</v>
      </c>
      <c r="G55" s="185">
        <f t="shared" si="20"/>
        <v>-5.3353428786736989</v>
      </c>
      <c r="H55" s="174">
        <f>+B$211/B55</f>
        <v>1.8574701480655949</v>
      </c>
    </row>
    <row r="56" spans="1:8" ht="15" hidden="1">
      <c r="A56" s="237" t="s">
        <v>161</v>
      </c>
      <c r="B56" s="190">
        <v>1254.5714285714287</v>
      </c>
      <c r="C56" s="165">
        <f t="shared" si="11"/>
        <v>111.21101219496754</v>
      </c>
      <c r="D56" s="183">
        <f t="shared" si="23"/>
        <v>-0.1296426865603717</v>
      </c>
      <c r="E56" s="183">
        <f t="shared" si="22"/>
        <v>-4.2626139075396141</v>
      </c>
      <c r="F56" s="184">
        <f t="shared" si="21"/>
        <v>0.88466500248709501</v>
      </c>
      <c r="G56" s="185">
        <f t="shared" si="20"/>
        <v>-10.165736135633152</v>
      </c>
      <c r="H56" s="174">
        <f>+B$211/B56</f>
        <v>1.8598813482122525</v>
      </c>
    </row>
    <row r="57" spans="1:8" ht="15" hidden="1">
      <c r="A57" s="237" t="s">
        <v>162</v>
      </c>
      <c r="B57" s="190">
        <v>1248</v>
      </c>
      <c r="C57" s="165">
        <f t="shared" si="11"/>
        <v>110.62849038205833</v>
      </c>
      <c r="D57" s="183">
        <f t="shared" si="23"/>
        <v>-0.52379867911638289</v>
      </c>
      <c r="E57" s="183">
        <f t="shared" si="22"/>
        <v>-4.7640850713124738</v>
      </c>
      <c r="F57" s="184">
        <f t="shared" si="21"/>
        <v>-0.79964389615757581</v>
      </c>
      <c r="G57" s="185">
        <f t="shared" si="20"/>
        <v>-8.7272275164005713</v>
      </c>
      <c r="H57" s="174">
        <f>+B$211/B57</f>
        <v>1.8696746794871797</v>
      </c>
    </row>
    <row r="58" spans="1:8" ht="15" hidden="1">
      <c r="A58" s="237" t="s">
        <v>163</v>
      </c>
      <c r="B58" s="190">
        <v>1259</v>
      </c>
      <c r="C58" s="165">
        <f t="shared" si="11"/>
        <v>111.60358124279763</v>
      </c>
      <c r="D58" s="183">
        <f t="shared" si="23"/>
        <v>0.88141025641026438</v>
      </c>
      <c r="E58" s="183">
        <f t="shared" si="22"/>
        <v>-3.9246659493448743</v>
      </c>
      <c r="F58" s="184">
        <f t="shared" si="21"/>
        <v>4.6550290939318284</v>
      </c>
      <c r="G58" s="185">
        <f t="shared" si="20"/>
        <v>-7.6911797052569897</v>
      </c>
      <c r="H58" s="174">
        <f>+B$211/B58</f>
        <v>1.853339158061954</v>
      </c>
    </row>
    <row r="59" spans="1:8" ht="15" hidden="1">
      <c r="A59" s="237" t="s">
        <v>164</v>
      </c>
      <c r="B59" s="190">
        <f>[105]PNEU!$C$26</f>
        <v>1216.0999999999999</v>
      </c>
      <c r="C59" s="165">
        <f t="shared" si="11"/>
        <v>107.80072688591437</v>
      </c>
      <c r="D59" s="183">
        <f t="shared" si="23"/>
        <v>-3.4074662430500502</v>
      </c>
      <c r="E59" s="183">
        <f t="shared" ref="E59:E64" si="24">100*(B59/B$58-1)</f>
        <v>-3.4074662430500502</v>
      </c>
      <c r="F59" s="184">
        <f t="shared" si="21"/>
        <v>-3.5354216408735151</v>
      </c>
      <c r="G59" s="185">
        <f t="shared" si="20"/>
        <v>-9.5358888335106311</v>
      </c>
      <c r="H59" s="174">
        <f>+B$211/B59</f>
        <v>1.91871885535729</v>
      </c>
    </row>
    <row r="60" spans="1:8" ht="15" hidden="1">
      <c r="A60" s="237" t="s">
        <v>165</v>
      </c>
      <c r="B60" s="190">
        <f>[106]PNEU!$C$26</f>
        <v>1268</v>
      </c>
      <c r="C60" s="165">
        <f t="shared" si="11"/>
        <v>112.40138285612979</v>
      </c>
      <c r="D60" s="183">
        <f t="shared" ref="D60:D65" si="25">100*(B60/B59-1)</f>
        <v>4.2677411397089138</v>
      </c>
      <c r="E60" s="183">
        <f t="shared" si="24"/>
        <v>0.71485305798253407</v>
      </c>
      <c r="F60" s="184">
        <f t="shared" si="21"/>
        <v>3.6159346271705806</v>
      </c>
      <c r="G60" s="185">
        <f t="shared" si="20"/>
        <v>-5.6547619047619069</v>
      </c>
      <c r="H60" s="174">
        <f>+B$211/B60</f>
        <v>1.8401845425867509</v>
      </c>
    </row>
    <row r="61" spans="1:8" ht="15" hidden="1">
      <c r="A61" s="237" t="s">
        <v>166</v>
      </c>
      <c r="B61" s="190">
        <f>[107]PNEU!$C$26</f>
        <v>1274.3333333333333</v>
      </c>
      <c r="C61" s="165">
        <f t="shared" si="11"/>
        <v>112.96279880625241</v>
      </c>
      <c r="D61" s="183">
        <f t="shared" si="25"/>
        <v>0.49947423764458154</v>
      </c>
      <c r="E61" s="183">
        <f t="shared" si="24"/>
        <v>1.2178978024887321</v>
      </c>
      <c r="F61" s="184">
        <f t="shared" si="21"/>
        <v>6.763851653261832</v>
      </c>
      <c r="G61" s="185">
        <f t="shared" si="20"/>
        <v>-3.9507568620061662</v>
      </c>
      <c r="H61" s="174">
        <f>+B$211/B61</f>
        <v>1.8310389746272564</v>
      </c>
    </row>
    <row r="62" spans="1:8" ht="15" hidden="1">
      <c r="A62" s="237" t="s">
        <v>167</v>
      </c>
      <c r="B62" s="190">
        <f>[108]PNEU!$C$26</f>
        <v>1258.7142857142858</v>
      </c>
      <c r="C62" s="165">
        <f t="shared" si="11"/>
        <v>111.57825420745377</v>
      </c>
      <c r="D62" s="183">
        <f t="shared" si="25"/>
        <v>-1.2256642128470441</v>
      </c>
      <c r="E62" s="183">
        <f t="shared" si="24"/>
        <v>-2.2693747872459813E-2</v>
      </c>
      <c r="F62" s="184">
        <f t="shared" si="21"/>
        <v>1.7825519915810828</v>
      </c>
      <c r="G62" s="185">
        <f t="shared" si="20"/>
        <v>-3.2628875770048693</v>
      </c>
      <c r="H62" s="174">
        <f>+B$211/B62</f>
        <v>1.8537598456474862</v>
      </c>
    </row>
    <row r="63" spans="1:8" ht="15" hidden="1">
      <c r="A63" s="237" t="s">
        <v>168</v>
      </c>
      <c r="B63" s="190">
        <f>[109]PNEU!$C$26</f>
        <v>1294.4000000000001</v>
      </c>
      <c r="C63" s="165">
        <f t="shared" si="11"/>
        <v>114.74160092190411</v>
      </c>
      <c r="D63" s="183">
        <f t="shared" si="25"/>
        <v>2.8350924980138581</v>
      </c>
      <c r="E63" s="183">
        <f t="shared" si="24"/>
        <v>2.8117553613979496</v>
      </c>
      <c r="F63" s="184">
        <f t="shared" si="21"/>
        <v>6.0983606557377223</v>
      </c>
      <c r="G63" s="185">
        <f t="shared" si="20"/>
        <v>-0.70802298198108238</v>
      </c>
      <c r="H63" s="174">
        <f>+B$211/B63</f>
        <v>1.8026529666254636</v>
      </c>
    </row>
    <row r="64" spans="1:8" ht="15" hidden="1">
      <c r="A64" s="237" t="s">
        <v>169</v>
      </c>
      <c r="B64" s="190">
        <f>[110]PNEU!$C$26</f>
        <v>1281.5999999999999</v>
      </c>
      <c r="C64" s="165">
        <f t="shared" si="11"/>
        <v>113.60694973849836</v>
      </c>
      <c r="D64" s="183">
        <f t="shared" si="25"/>
        <v>-0.98887515451175911</v>
      </c>
      <c r="E64" s="183">
        <f t="shared" si="24"/>
        <v>1.79507545671167</v>
      </c>
      <c r="F64" s="184">
        <f t="shared" si="21"/>
        <v>5.2648870636550216</v>
      </c>
      <c r="G64" s="185">
        <f t="shared" si="20"/>
        <v>1.5530903328050627</v>
      </c>
      <c r="H64" s="174">
        <f>+B$211/B64</f>
        <v>1.8206569912609243</v>
      </c>
    </row>
    <row r="65" spans="1:8" ht="15" hidden="1">
      <c r="A65" s="237" t="s">
        <v>170</v>
      </c>
      <c r="B65" s="190">
        <f>[111]PNEU!$C$26</f>
        <v>1273</v>
      </c>
      <c r="C65" s="165">
        <f t="shared" si="11"/>
        <v>112.84460597464765</v>
      </c>
      <c r="D65" s="183">
        <f t="shared" si="25"/>
        <v>-0.67103620474405767</v>
      </c>
      <c r="E65" s="183">
        <f t="shared" ref="E65:E70" si="26">100*(B65/B$58-1)</f>
        <v>1.1119936457505863</v>
      </c>
      <c r="F65" s="184">
        <f t="shared" ref="F65:F70" si="27">(100*(B65/B53-1))</f>
        <v>0.49999999999998934</v>
      </c>
      <c r="G65" s="185">
        <f t="shared" si="20"/>
        <v>2.3723361479694338</v>
      </c>
      <c r="H65" s="174">
        <f>+B$211/B65</f>
        <v>1.8329567949725061</v>
      </c>
    </row>
    <row r="66" spans="1:8" ht="15" hidden="1">
      <c r="A66" s="237" t="s">
        <v>171</v>
      </c>
      <c r="B66" s="190">
        <f>[112]PNEU!$C$26</f>
        <v>1285.8571428571429</v>
      </c>
      <c r="C66" s="165">
        <f t="shared" si="11"/>
        <v>113.98432256512216</v>
      </c>
      <c r="D66" s="183">
        <f t="shared" ref="D66:D71" si="28">100*(B66/B65-1)</f>
        <v>1.0099876557064347</v>
      </c>
      <c r="E66" s="183">
        <f t="shared" si="26"/>
        <v>2.1332123000113556</v>
      </c>
      <c r="F66" s="184">
        <f t="shared" si="27"/>
        <v>0.65417948001118553</v>
      </c>
      <c r="G66" s="185">
        <f t="shared" si="20"/>
        <v>-1.8751751060993138</v>
      </c>
      <c r="H66" s="174">
        <f>+B$211/B66</f>
        <v>1.8146292634151762</v>
      </c>
    </row>
    <row r="67" spans="1:8" ht="15" hidden="1">
      <c r="A67" s="237" t="s">
        <v>172</v>
      </c>
      <c r="B67" s="190">
        <f>[113]PNEU!$C$26</f>
        <v>1273.5999999999999</v>
      </c>
      <c r="C67" s="165">
        <f t="shared" si="11"/>
        <v>112.89779274886978</v>
      </c>
      <c r="D67" s="183">
        <f t="shared" si="28"/>
        <v>-0.95322741917566178</v>
      </c>
      <c r="E67" s="183">
        <f t="shared" si="26"/>
        <v>1.1596505162827508</v>
      </c>
      <c r="F67" s="184">
        <f t="shared" si="27"/>
        <v>1.3851297564082099</v>
      </c>
      <c r="G67" s="185">
        <f t="shared" si="20"/>
        <v>3.3170818765159593</v>
      </c>
      <c r="H67" s="174">
        <f>+B$211/B67</f>
        <v>1.8320932788944726</v>
      </c>
    </row>
    <row r="68" spans="1:8" ht="15" hidden="1">
      <c r="A68" s="237" t="s">
        <v>173</v>
      </c>
      <c r="B68" s="190">
        <f>[114]PNEU!$C$26</f>
        <v>1338.7142857142858</v>
      </c>
      <c r="C68" s="165">
        <f t="shared" si="11"/>
        <v>118.66982410373956</v>
      </c>
      <c r="D68" s="183">
        <f t="shared" si="28"/>
        <v>5.1126166547020846</v>
      </c>
      <c r="E68" s="183">
        <f t="shared" si="26"/>
        <v>6.3315556564166542</v>
      </c>
      <c r="F68" s="184">
        <f t="shared" si="27"/>
        <v>6.7069004782509545</v>
      </c>
      <c r="G68" s="185">
        <f t="shared" si="20"/>
        <v>7.6508990820207901</v>
      </c>
      <c r="H68" s="174">
        <f>+B$211/B68</f>
        <v>1.7429813253654893</v>
      </c>
    </row>
    <row r="69" spans="1:8" ht="15" hidden="1">
      <c r="A69" s="237" t="s">
        <v>174</v>
      </c>
      <c r="B69" s="190">
        <f>[115]PNEU!$C$26</f>
        <v>1369.4</v>
      </c>
      <c r="C69" s="165">
        <f t="shared" si="11"/>
        <v>121.38994769967202</v>
      </c>
      <c r="D69" s="183">
        <f t="shared" si="28"/>
        <v>2.292177995944944</v>
      </c>
      <c r="E69" s="183">
        <f t="shared" si="26"/>
        <v>8.7688641779189993</v>
      </c>
      <c r="F69" s="184">
        <f t="shared" si="27"/>
        <v>9.7275641025641022</v>
      </c>
      <c r="G69" s="185">
        <f t="shared" si="20"/>
        <v>8.8501343338155625</v>
      </c>
      <c r="H69" s="174">
        <f>+B$211/B69</f>
        <v>1.7039243464290932</v>
      </c>
    </row>
    <row r="70" spans="1:8" ht="15" hidden="1">
      <c r="A70" s="237" t="s">
        <v>175</v>
      </c>
      <c r="B70" s="190">
        <f>[116]PNEU!$C$26</f>
        <v>1359.4285714285713</v>
      </c>
      <c r="C70" s="165">
        <f t="shared" si="11"/>
        <v>120.50603416617068</v>
      </c>
      <c r="D70" s="183">
        <f t="shared" si="28"/>
        <v>-0.72816040393083314</v>
      </c>
      <c r="E70" s="183">
        <f t="shared" si="26"/>
        <v>7.9768523771700739</v>
      </c>
      <c r="F70" s="184">
        <f t="shared" si="27"/>
        <v>7.9768523771700739</v>
      </c>
      <c r="G70" s="185">
        <f t="shared" si="20"/>
        <v>13.003206270039168</v>
      </c>
      <c r="H70" s="174">
        <f>+B$211/B70</f>
        <v>1.7164226565783947</v>
      </c>
    </row>
    <row r="71" spans="1:8" ht="15" hidden="1">
      <c r="A71" s="237" t="s">
        <v>176</v>
      </c>
      <c r="B71" s="190">
        <f>[117]PNEU!$C$26</f>
        <v>1369.4</v>
      </c>
      <c r="C71" s="165">
        <f t="shared" si="11"/>
        <v>121.38994769967202</v>
      </c>
      <c r="D71" s="183">
        <f t="shared" si="28"/>
        <v>0.73350147120641029</v>
      </c>
      <c r="E71" s="183">
        <f t="shared" ref="E71:E76" si="29">100*(B71/B$70-1)</f>
        <v>0.73350147120641029</v>
      </c>
      <c r="F71" s="184">
        <f t="shared" ref="F71:F76" si="30">(100*(B71/B59-1))</f>
        <v>12.605871227695097</v>
      </c>
      <c r="G71" s="185">
        <f t="shared" si="20"/>
        <v>8.6247788874170173</v>
      </c>
      <c r="H71" s="174">
        <f>+B$211/B71</f>
        <v>1.7039243464290932</v>
      </c>
    </row>
    <row r="72" spans="1:8" ht="15" hidden="1">
      <c r="A72" s="237" t="s">
        <v>177</v>
      </c>
      <c r="B72" s="190">
        <f>[118]PNEU!$C$26</f>
        <v>1362</v>
      </c>
      <c r="C72" s="165">
        <f t="shared" si="11"/>
        <v>120.73397748426559</v>
      </c>
      <c r="D72" s="183">
        <f t="shared" ref="D72:D77" si="31">100*(B72/B71-1)</f>
        <v>-0.54038264933548019</v>
      </c>
      <c r="E72" s="183">
        <f t="shared" si="29"/>
        <v>0.18915510718791051</v>
      </c>
      <c r="F72" s="184">
        <f t="shared" si="30"/>
        <v>7.4132492113564652</v>
      </c>
      <c r="G72" s="185">
        <f t="shared" si="20"/>
        <v>11.297242083758929</v>
      </c>
      <c r="H72" s="174">
        <f>+B$211/B72</f>
        <v>1.7131820851688695</v>
      </c>
    </row>
    <row r="73" spans="1:8" ht="15" hidden="1">
      <c r="A73" s="237" t="s">
        <v>178</v>
      </c>
      <c r="B73" s="190">
        <f>[119]PNEU!$C$26</f>
        <v>1372.8</v>
      </c>
      <c r="C73" s="165">
        <f t="shared" si="11"/>
        <v>121.69133942026417</v>
      </c>
      <c r="D73" s="183">
        <f t="shared" si="31"/>
        <v>0.79295154185021755</v>
      </c>
      <c r="E73" s="183">
        <f t="shared" si="29"/>
        <v>0.98360655737705915</v>
      </c>
      <c r="F73" s="184">
        <f t="shared" si="30"/>
        <v>7.7269160345278642</v>
      </c>
      <c r="G73" s="185">
        <f t="shared" si="20"/>
        <v>15.013404825737275</v>
      </c>
      <c r="H73" s="174">
        <f>+B$211/B73</f>
        <v>1.6997042540792544</v>
      </c>
    </row>
    <row r="74" spans="1:8" ht="15" hidden="1">
      <c r="A74" s="237" t="s">
        <v>179</v>
      </c>
      <c r="B74" s="190">
        <f>[120]PNEU!$C$26</f>
        <v>1385.6666666666667</v>
      </c>
      <c r="C74" s="165">
        <f t="shared" si="11"/>
        <v>122.83190024525015</v>
      </c>
      <c r="D74" s="183">
        <f t="shared" si="31"/>
        <v>0.93725718725718998</v>
      </c>
      <c r="E74" s="183">
        <f t="shared" si="29"/>
        <v>1.9300826677876026</v>
      </c>
      <c r="F74" s="184">
        <f t="shared" si="30"/>
        <v>10.085877501607833</v>
      </c>
      <c r="G74" s="185">
        <f t="shared" si="20"/>
        <v>12.048215503462245</v>
      </c>
      <c r="H74" s="174">
        <f>+B$211/B74</f>
        <v>1.6839215780611019</v>
      </c>
    </row>
    <row r="75" spans="1:8" ht="15" hidden="1">
      <c r="A75" s="237" t="s">
        <v>180</v>
      </c>
      <c r="B75" s="190">
        <f>[121]PNEU!$C$26</f>
        <v>1381.8571428571429</v>
      </c>
      <c r="C75" s="165">
        <f t="shared" si="11"/>
        <v>122.4942064406651</v>
      </c>
      <c r="D75" s="183">
        <f t="shared" si="31"/>
        <v>-0.27492353689130278</v>
      </c>
      <c r="E75" s="183">
        <f t="shared" si="29"/>
        <v>1.64985287936108</v>
      </c>
      <c r="F75" s="184">
        <f t="shared" si="30"/>
        <v>6.7565777856259945</v>
      </c>
      <c r="G75" s="185">
        <f t="shared" si="20"/>
        <v>13.266978922716621</v>
      </c>
      <c r="H75" s="174">
        <f>+B$211/B75</f>
        <v>1.6885638374857854</v>
      </c>
    </row>
    <row r="76" spans="1:8" ht="15" hidden="1">
      <c r="A76" s="237" t="s">
        <v>181</v>
      </c>
      <c r="B76" s="190">
        <f>[122]PNEU!$C$26</f>
        <v>1388.2857142857142</v>
      </c>
      <c r="C76" s="165">
        <f t="shared" si="11"/>
        <v>123.06406473590233</v>
      </c>
      <c r="D76" s="183">
        <f t="shared" si="31"/>
        <v>0.46521244701747122</v>
      </c>
      <c r="E76" s="183">
        <f t="shared" si="29"/>
        <v>2.122740647330823</v>
      </c>
      <c r="F76" s="184">
        <f t="shared" si="30"/>
        <v>8.3244159086855785</v>
      </c>
      <c r="G76" s="185">
        <f t="shared" si="20"/>
        <v>14.027574068641835</v>
      </c>
      <c r="H76" s="174">
        <f>+B$211/B76</f>
        <v>1.6807448034575019</v>
      </c>
    </row>
    <row r="77" spans="1:8" ht="15" hidden="1">
      <c r="A77" s="237" t="s">
        <v>182</v>
      </c>
      <c r="B77" s="190">
        <f>[123]PNEU!$C$26</f>
        <v>1377</v>
      </c>
      <c r="C77" s="165">
        <f t="shared" si="11"/>
        <v>122.06364683981917</v>
      </c>
      <c r="D77" s="183">
        <f t="shared" si="31"/>
        <v>-0.8129244700555649</v>
      </c>
      <c r="E77" s="183">
        <f t="shared" ref="E77:E82" si="32">100*(B77/B$70-1)</f>
        <v>1.2925598991172738</v>
      </c>
      <c r="F77" s="184">
        <f t="shared" ref="F77:F82" si="33">(100*(B77/B65-1))</f>
        <v>8.1696779261586805</v>
      </c>
      <c r="G77" s="185">
        <f t="shared" si="20"/>
        <v>8.7105263157894584</v>
      </c>
      <c r="H77" s="174">
        <f>+B$211/B77</f>
        <v>1.6945199709513437</v>
      </c>
    </row>
    <row r="78" spans="1:8" ht="15" hidden="1">
      <c r="A78" s="237" t="s">
        <v>183</v>
      </c>
      <c r="B78" s="190">
        <f>[124]PNEU!$C$26</f>
        <v>1398</v>
      </c>
      <c r="C78" s="165">
        <f t="shared" si="11"/>
        <v>123.9251839375942</v>
      </c>
      <c r="D78" s="183">
        <f t="shared" ref="D78:D83" si="34">100*(B78/B77-1)</f>
        <v>1.5250544662309462</v>
      </c>
      <c r="E78" s="183">
        <f t="shared" si="32"/>
        <v>2.8373266078184134</v>
      </c>
      <c r="F78" s="184">
        <f t="shared" si="33"/>
        <v>8.7212531940895399</v>
      </c>
      <c r="G78" s="185">
        <f t="shared" ref="G78:G100" si="35">100*(B78/B54-1)</f>
        <v>9.432485322896289</v>
      </c>
      <c r="H78" s="174">
        <f>+B$211/B78</f>
        <v>1.6690658082975682</v>
      </c>
    </row>
    <row r="79" spans="1:8" ht="15" hidden="1">
      <c r="A79" s="237" t="s">
        <v>184</v>
      </c>
      <c r="B79" s="190">
        <f>[125]PNEU!$C$26</f>
        <v>1403</v>
      </c>
      <c r="C79" s="165">
        <f t="shared" si="11"/>
        <v>124.36840705611206</v>
      </c>
      <c r="D79" s="183">
        <f t="shared" si="34"/>
        <v>0.35765379113019691</v>
      </c>
      <c r="E79" s="183">
        <f t="shared" si="32"/>
        <v>3.2051282051282159</v>
      </c>
      <c r="F79" s="184">
        <f t="shared" si="33"/>
        <v>10.160175879396993</v>
      </c>
      <c r="G79" s="185">
        <f t="shared" si="35"/>
        <v>11.686037255214131</v>
      </c>
      <c r="H79" s="174">
        <f>+B$211/B79</f>
        <v>1.6631176051318606</v>
      </c>
    </row>
    <row r="80" spans="1:8" ht="15" hidden="1">
      <c r="A80" s="237" t="s">
        <v>185</v>
      </c>
      <c r="B80" s="190">
        <f>[126]PNEU!$C$26</f>
        <v>1404.2857142857142</v>
      </c>
      <c r="C80" s="165">
        <f t="shared" si="11"/>
        <v>124.4823787151595</v>
      </c>
      <c r="D80" s="183">
        <f t="shared" si="34"/>
        <v>9.1640362488543126E-2</v>
      </c>
      <c r="E80" s="183">
        <f t="shared" si="32"/>
        <v>3.2997057587221601</v>
      </c>
      <c r="F80" s="184">
        <f t="shared" si="33"/>
        <v>4.89808985167004</v>
      </c>
      <c r="G80" s="185">
        <f t="shared" si="35"/>
        <v>11.933500341607829</v>
      </c>
      <c r="H80" s="174">
        <f>+B$211/B80</f>
        <v>1.6615949135300105</v>
      </c>
    </row>
    <row r="81" spans="1:8" ht="15" hidden="1">
      <c r="A81" s="237" t="s">
        <v>186</v>
      </c>
      <c r="B81" s="190">
        <f>[127]PNEU!$C$26</f>
        <v>1420</v>
      </c>
      <c r="C81" s="165">
        <f t="shared" si="11"/>
        <v>125.87536565907278</v>
      </c>
      <c r="D81" s="183">
        <f t="shared" si="34"/>
        <v>1.1190233977619535</v>
      </c>
      <c r="E81" s="183">
        <f t="shared" si="32"/>
        <v>4.4556536359815047</v>
      </c>
      <c r="F81" s="184">
        <f t="shared" si="33"/>
        <v>3.6950489265371589</v>
      </c>
      <c r="G81" s="185">
        <f t="shared" si="35"/>
        <v>13.782051282051277</v>
      </c>
      <c r="H81" s="174">
        <f>+B$211/B81</f>
        <v>1.6432070422535212</v>
      </c>
    </row>
    <row r="82" spans="1:8" ht="15" hidden="1">
      <c r="A82" s="237" t="s">
        <v>187</v>
      </c>
      <c r="B82" s="190">
        <f>[128]PNEU!$C$26</f>
        <v>1422.4285714285713</v>
      </c>
      <c r="C82" s="165">
        <f t="shared" si="11"/>
        <v>126.09064545949573</v>
      </c>
      <c r="D82" s="183">
        <f t="shared" si="34"/>
        <v>0.17102615694164491</v>
      </c>
      <c r="E82" s="183">
        <f t="shared" si="32"/>
        <v>4.6343001261033967</v>
      </c>
      <c r="F82" s="184">
        <f t="shared" si="33"/>
        <v>4.6343001261033967</v>
      </c>
      <c r="G82" s="185">
        <f t="shared" si="35"/>
        <v>12.980823783047768</v>
      </c>
      <c r="H82" s="174">
        <f>+B$211/B82</f>
        <v>1.6404015265642264</v>
      </c>
    </row>
    <row r="83" spans="1:8" ht="15" hidden="1">
      <c r="A83" s="237" t="s">
        <v>188</v>
      </c>
      <c r="B83" s="190">
        <f>[129]PNEU!$C$26</f>
        <v>1422.4285714285713</v>
      </c>
      <c r="C83" s="165">
        <f t="shared" si="11"/>
        <v>126.09064545949573</v>
      </c>
      <c r="D83" s="183">
        <f t="shared" si="34"/>
        <v>0</v>
      </c>
      <c r="E83" s="183">
        <f t="shared" ref="E83:E88" si="36">100*(B83/B$82-1)</f>
        <v>0</v>
      </c>
      <c r="F83" s="184">
        <f t="shared" ref="F83:F88" si="37">(100*(B83/B71-1))</f>
        <v>3.8723945836549811</v>
      </c>
      <c r="G83" s="185">
        <f t="shared" si="35"/>
        <v>16.966414885993863</v>
      </c>
      <c r="H83" s="174">
        <f>+B$211/B83</f>
        <v>1.6404015265642264</v>
      </c>
    </row>
    <row r="84" spans="1:8" ht="15" hidden="1">
      <c r="A84" s="237" t="s">
        <v>189</v>
      </c>
      <c r="B84" s="190">
        <f>[130]PNEU!$C$26</f>
        <v>1458.5</v>
      </c>
      <c r="C84" s="165">
        <f t="shared" si="11"/>
        <v>129.28818367166033</v>
      </c>
      <c r="D84" s="183">
        <f t="shared" ref="D84:D89" si="38">100*(B84/B83-1)</f>
        <v>2.5359043888721677</v>
      </c>
      <c r="E84" s="183">
        <f t="shared" si="36"/>
        <v>2.5359043888721677</v>
      </c>
      <c r="F84" s="184">
        <f t="shared" si="37"/>
        <v>7.0851688693098325</v>
      </c>
      <c r="G84" s="185">
        <f t="shared" si="35"/>
        <v>15.023659305993696</v>
      </c>
      <c r="H84" s="174">
        <f>+B$211/B84</f>
        <v>1.5998313335618788</v>
      </c>
    </row>
    <row r="85" spans="1:8" ht="15" hidden="1">
      <c r="A85" s="237" t="s">
        <v>190</v>
      </c>
      <c r="B85" s="190">
        <f>[131]PNEU!$C$26</f>
        <v>1487.405</v>
      </c>
      <c r="C85" s="165">
        <f t="shared" si="11"/>
        <v>131.85045651981207</v>
      </c>
      <c r="D85" s="183">
        <f t="shared" si="38"/>
        <v>1.9818306479259418</v>
      </c>
      <c r="E85" s="183">
        <f t="shared" si="36"/>
        <v>4.5679923671788636</v>
      </c>
      <c r="F85" s="184">
        <f t="shared" si="37"/>
        <v>8.3482663170163285</v>
      </c>
      <c r="G85" s="185">
        <f t="shared" si="35"/>
        <v>16.720245880198803</v>
      </c>
      <c r="H85" s="174">
        <f>+B$211/B85</f>
        <v>1.5687415330727006</v>
      </c>
    </row>
    <row r="86" spans="1:8" ht="15" hidden="1">
      <c r="A86" s="237" t="s">
        <v>191</v>
      </c>
      <c r="B86" s="190">
        <f>[132]PNEU!$C$26</f>
        <v>1456.3333333333333</v>
      </c>
      <c r="C86" s="165">
        <f t="shared" si="11"/>
        <v>129.09612032030256</v>
      </c>
      <c r="D86" s="183">
        <f t="shared" si="38"/>
        <v>-2.0889849547814254</v>
      </c>
      <c r="E86" s="183">
        <f t="shared" si="36"/>
        <v>2.3835827391115227</v>
      </c>
      <c r="F86" s="184">
        <f t="shared" si="37"/>
        <v>5.0998316093336493</v>
      </c>
      <c r="G86" s="185">
        <f t="shared" si="35"/>
        <v>15.700071879847144</v>
      </c>
      <c r="H86" s="174">
        <f>+B$211/B86</f>
        <v>1.6022114900434885</v>
      </c>
    </row>
    <row r="87" spans="1:8" ht="15" hidden="1">
      <c r="A87" s="237" t="s">
        <v>192</v>
      </c>
      <c r="B87" s="190">
        <f>[133]PNEU!$C$26</f>
        <v>1446.3333333333333</v>
      </c>
      <c r="C87" s="165">
        <f t="shared" si="11"/>
        <v>128.20967408326683</v>
      </c>
      <c r="D87" s="183">
        <f t="shared" si="38"/>
        <v>-0.68665598535133654</v>
      </c>
      <c r="E87" s="183">
        <f t="shared" si="36"/>
        <v>1.6805597402162586</v>
      </c>
      <c r="F87" s="184">
        <f t="shared" si="37"/>
        <v>4.6659085426789204</v>
      </c>
      <c r="G87" s="185">
        <f t="shared" si="35"/>
        <v>11.737742068397194</v>
      </c>
      <c r="H87" s="174">
        <f>+B$211/B87</f>
        <v>1.6132892371514176</v>
      </c>
    </row>
    <row r="88" spans="1:8" ht="15" hidden="1">
      <c r="A88" s="237" t="s">
        <v>193</v>
      </c>
      <c r="B88" s="190">
        <f>[134]PNEU!$C$26</f>
        <v>1492.8116666666667</v>
      </c>
      <c r="C88" s="165">
        <f t="shared" si="11"/>
        <v>132.32972845196943</v>
      </c>
      <c r="D88" s="183">
        <f t="shared" si="38"/>
        <v>3.2135284627794469</v>
      </c>
      <c r="E88" s="183">
        <f t="shared" si="36"/>
        <v>4.9480934685815825</v>
      </c>
      <c r="F88" s="184">
        <f t="shared" si="37"/>
        <v>7.5291383686629798</v>
      </c>
      <c r="G88" s="185">
        <f t="shared" si="35"/>
        <v>16.48031106949648</v>
      </c>
      <c r="H88" s="174">
        <f>+B$211/B88</f>
        <v>1.5630598635460826</v>
      </c>
    </row>
    <row r="89" spans="1:8" ht="15" hidden="1">
      <c r="A89" s="237" t="s">
        <v>194</v>
      </c>
      <c r="B89" s="190">
        <f>[135]PNEU!$C$26</f>
        <v>1510.8683333333336</v>
      </c>
      <c r="C89" s="165">
        <f t="shared" si="11"/>
        <v>133.93035487397691</v>
      </c>
      <c r="D89" s="183">
        <f t="shared" si="38"/>
        <v>1.2095743267458436</v>
      </c>
      <c r="E89" s="183">
        <f t="shared" ref="E89:E94" si="39">100*(B89/B$82-1)</f>
        <v>6.2175186635867741</v>
      </c>
      <c r="F89" s="184">
        <f t="shared" ref="F89:F100" si="40">(100*(B89/B77-1))</f>
        <v>9.7217380779472506</v>
      </c>
      <c r="G89" s="185">
        <f t="shared" si="35"/>
        <v>18.685650693898936</v>
      </c>
      <c r="H89" s="174">
        <f>+B$211/B89</f>
        <v>1.5443794462566227</v>
      </c>
    </row>
    <row r="90" spans="1:8" ht="15" hidden="1">
      <c r="A90" s="237" t="s">
        <v>195</v>
      </c>
      <c r="B90" s="190">
        <f>[136]PNEU!$C$26</f>
        <v>1515.6949999999999</v>
      </c>
      <c r="C90" s="165">
        <f t="shared" si="11"/>
        <v>134.35821292438615</v>
      </c>
      <c r="D90" s="183">
        <f t="shared" ref="D90:D95" si="41">100*(B90/B89-1)</f>
        <v>0.31946309020969288</v>
      </c>
      <c r="E90" s="183">
        <f t="shared" si="39"/>
        <v>6.5568444310535323</v>
      </c>
      <c r="F90" s="184">
        <f t="shared" si="40"/>
        <v>8.418812589413438</v>
      </c>
      <c r="G90" s="185">
        <f t="shared" si="35"/>
        <v>17.874291745361614</v>
      </c>
      <c r="H90" s="174">
        <f>+B$211/B90</f>
        <v>1.5394614351832001</v>
      </c>
    </row>
    <row r="91" spans="1:8" ht="15" hidden="1">
      <c r="A91" s="237" t="s">
        <v>196</v>
      </c>
      <c r="B91" s="190">
        <f>[137]PNEU!$C$26</f>
        <v>1521.1000000000001</v>
      </c>
      <c r="C91" s="165">
        <f t="shared" si="11"/>
        <v>134.83733711550394</v>
      </c>
      <c r="D91" s="183">
        <f t="shared" si="41"/>
        <v>0.356602086831459</v>
      </c>
      <c r="E91" s="183">
        <f t="shared" si="39"/>
        <v>6.9368283619564375</v>
      </c>
      <c r="F91" s="184">
        <f t="shared" si="40"/>
        <v>8.4176764076977939</v>
      </c>
      <c r="G91" s="185">
        <f t="shared" si="35"/>
        <v>19.433103015075393</v>
      </c>
      <c r="H91" s="174">
        <f>+B$211/B91</f>
        <v>1.5339911905857604</v>
      </c>
    </row>
    <row r="92" spans="1:8" ht="15" hidden="1">
      <c r="A92" s="237" t="s">
        <v>197</v>
      </c>
      <c r="B92" s="190">
        <f>[138]PNEU!$C$26</f>
        <v>1598.2366666666667</v>
      </c>
      <c r="C92" s="165">
        <f t="shared" si="11"/>
        <v>141.6750879059185</v>
      </c>
      <c r="D92" s="183">
        <f t="shared" si="41"/>
        <v>5.0711108189248844</v>
      </c>
      <c r="E92" s="183">
        <f t="shared" si="39"/>
        <v>12.359713434434738</v>
      </c>
      <c r="F92" s="184">
        <f t="shared" si="40"/>
        <v>13.811359782977295</v>
      </c>
      <c r="G92" s="185">
        <f t="shared" si="35"/>
        <v>19.38594244655496</v>
      </c>
      <c r="H92" s="174">
        <f>+B$211/B92</f>
        <v>1.4599552423399957</v>
      </c>
    </row>
    <row r="93" spans="1:8" ht="15" hidden="1">
      <c r="A93" s="237" t="s">
        <v>198</v>
      </c>
      <c r="B93" s="190">
        <f>[139]PNEU!$C$26</f>
        <v>1599.345</v>
      </c>
      <c r="C93" s="165">
        <f t="shared" si="11"/>
        <v>141.77333569718996</v>
      </c>
      <c r="D93" s="183">
        <f t="shared" si="41"/>
        <v>6.9347259792573723E-2</v>
      </c>
      <c r="E93" s="183">
        <f t="shared" si="39"/>
        <v>12.437631816812299</v>
      </c>
      <c r="F93" s="184">
        <f t="shared" si="40"/>
        <v>12.629929577464782</v>
      </c>
      <c r="G93" s="185">
        <f t="shared" si="35"/>
        <v>16.791660581276457</v>
      </c>
      <c r="H93" s="174">
        <f>+B$211/B93</f>
        <v>1.4589435049973585</v>
      </c>
    </row>
    <row r="94" spans="1:8" ht="15" hidden="1">
      <c r="A94" s="237" t="s">
        <v>199</v>
      </c>
      <c r="B94" s="190">
        <f>[140]PNEU!$C$26</f>
        <v>1560.1416666666664</v>
      </c>
      <c r="C94" s="165">
        <f t="shared" si="11"/>
        <v>138.29817096593089</v>
      </c>
      <c r="D94" s="183">
        <f t="shared" si="41"/>
        <v>-2.451211798163222</v>
      </c>
      <c r="E94" s="183">
        <f t="shared" si="39"/>
        <v>9.6815473201432809</v>
      </c>
      <c r="F94" s="184">
        <f t="shared" si="40"/>
        <v>9.6815473201432809</v>
      </c>
      <c r="G94" s="185">
        <f t="shared" si="35"/>
        <v>14.764519405912836</v>
      </c>
      <c r="H94" s="174">
        <f>+B$211/B94</f>
        <v>1.4956039248572517</v>
      </c>
    </row>
    <row r="95" spans="1:8" ht="16.5" customHeight="1">
      <c r="A95" s="189" t="s">
        <v>200</v>
      </c>
      <c r="B95" s="190">
        <f>[141]PNEU!$C$26</f>
        <v>1533.0766666666668</v>
      </c>
      <c r="C95" s="165">
        <f t="shared" si="11"/>
        <v>135.89900422539375</v>
      </c>
      <c r="D95" s="166">
        <f t="shared" si="41"/>
        <v>-1.7347783588028576</v>
      </c>
      <c r="E95" s="166">
        <f t="shared" ref="E95:E100" si="42">100*(B95/B$94-1)</f>
        <v>-1.7347783588028576</v>
      </c>
      <c r="F95" s="169">
        <f t="shared" si="40"/>
        <v>7.7788155736333131</v>
      </c>
      <c r="G95" s="170">
        <f t="shared" si="35"/>
        <v>11.952436590234171</v>
      </c>
      <c r="H95" s="174">
        <f>+B$211/B95</f>
        <v>1.5220073794961331</v>
      </c>
    </row>
    <row r="96" spans="1:8" ht="16.5" customHeight="1">
      <c r="A96" s="189" t="s">
        <v>201</v>
      </c>
      <c r="B96" s="190">
        <f>[142]PNEU!$C$26</f>
        <v>1544.4916666666668</v>
      </c>
      <c r="C96" s="165">
        <f t="shared" si="11"/>
        <v>136.91088260497003</v>
      </c>
      <c r="D96" s="166">
        <f t="shared" ref="D96:D101" si="43">100*(B96/B95-1)</f>
        <v>0.7445811581503925</v>
      </c>
      <c r="E96" s="166">
        <f t="shared" si="42"/>
        <v>-1.0031140334477939</v>
      </c>
      <c r="F96" s="169">
        <f t="shared" si="40"/>
        <v>5.8958976117015283</v>
      </c>
      <c r="G96" s="170">
        <f t="shared" si="35"/>
        <v>13.398800783162024</v>
      </c>
      <c r="H96" s="174">
        <f>+B$211/B96</f>
        <v>1.5107585559434333</v>
      </c>
    </row>
    <row r="97" spans="1:8" ht="16.5" customHeight="1">
      <c r="A97" s="189" t="s">
        <v>202</v>
      </c>
      <c r="B97" s="190">
        <f>[143]PNEU!$C$26</f>
        <v>1654.6583333333335</v>
      </c>
      <c r="C97" s="165">
        <f t="shared" si="11"/>
        <v>146.6765653163136</v>
      </c>
      <c r="D97" s="166">
        <f t="shared" si="43"/>
        <v>7.1328754336648093</v>
      </c>
      <c r="E97" s="166">
        <f t="shared" si="42"/>
        <v>6.0582105257535712</v>
      </c>
      <c r="F97" s="169">
        <f t="shared" si="40"/>
        <v>11.244639713684812</v>
      </c>
      <c r="G97" s="170">
        <f t="shared" si="35"/>
        <v>20.531638500388528</v>
      </c>
      <c r="H97" s="174">
        <f t="shared" ref="H97:H160" si="44">+B$211/B97</f>
        <v>1.4101726942621589</v>
      </c>
    </row>
    <row r="98" spans="1:8" ht="16.5" customHeight="1">
      <c r="A98" s="189" t="s">
        <v>203</v>
      </c>
      <c r="B98" s="190">
        <f>[144]PNEU!$C$26</f>
        <v>1632.9916666666668</v>
      </c>
      <c r="C98" s="165">
        <f t="shared" si="11"/>
        <v>144.7559318027362</v>
      </c>
      <c r="D98" s="166">
        <f t="shared" si="43"/>
        <v>-1.3094344753952325</v>
      </c>
      <c r="E98" s="166">
        <f t="shared" si="42"/>
        <v>4.6694477531421086</v>
      </c>
      <c r="F98" s="169">
        <f t="shared" si="40"/>
        <v>12.130350194552552</v>
      </c>
      <c r="G98" s="170">
        <f t="shared" si="35"/>
        <v>17.848809237430842</v>
      </c>
      <c r="H98" s="174">
        <f t="shared" si="44"/>
        <v>1.4288829806234977</v>
      </c>
    </row>
    <row r="99" spans="1:8" ht="16.5" customHeight="1">
      <c r="A99" s="189" t="s">
        <v>204</v>
      </c>
      <c r="B99" s="190">
        <f>[145]PNEU!$C$26</f>
        <v>1648.78</v>
      </c>
      <c r="C99" s="165">
        <f t="shared" si="11"/>
        <v>146.15548266997607</v>
      </c>
      <c r="D99" s="166">
        <f t="shared" si="43"/>
        <v>0.9668348991370479</v>
      </c>
      <c r="E99" s="166">
        <f t="shared" si="42"/>
        <v>5.681428502753505</v>
      </c>
      <c r="F99" s="169">
        <f t="shared" si="40"/>
        <v>13.997234385803182</v>
      </c>
      <c r="G99" s="170">
        <f t="shared" si="35"/>
        <v>19.316241083428089</v>
      </c>
      <c r="H99" s="174">
        <f t="shared" si="44"/>
        <v>1.4152003299409261</v>
      </c>
    </row>
    <row r="100" spans="1:8" ht="16.5" customHeight="1">
      <c r="A100" s="189" t="s">
        <v>205</v>
      </c>
      <c r="B100" s="190">
        <f>[146]PNEU!$C$26</f>
        <v>1662.2633333333333</v>
      </c>
      <c r="C100" s="165">
        <f t="shared" si="11"/>
        <v>147.35070767957924</v>
      </c>
      <c r="D100" s="166">
        <f t="shared" si="43"/>
        <v>0.81777637606796905</v>
      </c>
      <c r="E100" s="166">
        <f t="shared" si="42"/>
        <v>6.5456662589401748</v>
      </c>
      <c r="F100" s="169">
        <f t="shared" si="40"/>
        <v>11.351175131491242</v>
      </c>
      <c r="G100" s="170">
        <f t="shared" si="35"/>
        <v>19.73495918227346</v>
      </c>
      <c r="H100" s="174">
        <f t="shared" si="44"/>
        <v>1.4037210309638066</v>
      </c>
    </row>
    <row r="101" spans="1:8" ht="16.5" customHeight="1">
      <c r="A101" s="189" t="s">
        <v>206</v>
      </c>
      <c r="B101" s="190">
        <f>[147]PNEU!$C$26</f>
        <v>1657.2700000000002</v>
      </c>
      <c r="C101" s="165">
        <f t="shared" si="11"/>
        <v>146.90807552521943</v>
      </c>
      <c r="D101" s="166">
        <f t="shared" si="43"/>
        <v>-0.30039363999685431</v>
      </c>
      <c r="E101" s="166">
        <f t="shared" ref="E101:E106" si="45">100*(B101/B$94-1)</f>
        <v>6.2256098538060467</v>
      </c>
      <c r="F101" s="169">
        <f t="shared" ref="F101:F106" si="46">(100*(B101/B89-1))</f>
        <v>9.6899023850522958</v>
      </c>
      <c r="G101" s="170">
        <f t="shared" ref="G101:G106" si="47">100*(B101/B77-1)</f>
        <v>20.353667392883089</v>
      </c>
      <c r="H101" s="174">
        <f t="shared" si="44"/>
        <v>1.4079504244932932</v>
      </c>
    </row>
    <row r="102" spans="1:8" ht="16.5" customHeight="1">
      <c r="A102" s="189" t="s">
        <v>207</v>
      </c>
      <c r="B102" s="190">
        <f>[148]PNEU!$C$26</f>
        <v>1657.2700000000002</v>
      </c>
      <c r="C102" s="165">
        <f t="shared" si="11"/>
        <v>146.90807552521943</v>
      </c>
      <c r="D102" s="166">
        <f t="shared" ref="D102:D107" si="48">100*(B102/B101-1)</f>
        <v>0</v>
      </c>
      <c r="E102" s="166">
        <f t="shared" si="45"/>
        <v>6.2256098538060467</v>
      </c>
      <c r="F102" s="169">
        <f t="shared" si="46"/>
        <v>9.3405995269496991</v>
      </c>
      <c r="G102" s="170">
        <f t="shared" si="47"/>
        <v>18.545779685264673</v>
      </c>
      <c r="H102" s="174">
        <f t="shared" si="44"/>
        <v>1.4079504244932932</v>
      </c>
    </row>
    <row r="103" spans="1:8" ht="16.5" customHeight="1">
      <c r="A103" s="189" t="s">
        <v>208</v>
      </c>
      <c r="B103" s="190">
        <f>[149]PNEU!$C$26</f>
        <v>1657.2700000000002</v>
      </c>
      <c r="C103" s="165">
        <f t="shared" si="11"/>
        <v>146.90807552521943</v>
      </c>
      <c r="D103" s="166">
        <f t="shared" si="48"/>
        <v>0</v>
      </c>
      <c r="E103" s="166">
        <f t="shared" si="45"/>
        <v>6.2256098538060467</v>
      </c>
      <c r="F103" s="169">
        <f t="shared" si="46"/>
        <v>8.9520741568601672</v>
      </c>
      <c r="G103" s="170">
        <f t="shared" si="47"/>
        <v>18.123307198859596</v>
      </c>
      <c r="H103" s="174">
        <f t="shared" si="44"/>
        <v>1.4079504244932932</v>
      </c>
    </row>
    <row r="104" spans="1:8" ht="16.5" customHeight="1">
      <c r="A104" s="189" t="s">
        <v>209</v>
      </c>
      <c r="B104" s="190">
        <f>[150]PNEU!$C$26</f>
        <v>1663.7866666666669</v>
      </c>
      <c r="C104" s="165">
        <f t="shared" si="11"/>
        <v>147.48574298968771</v>
      </c>
      <c r="D104" s="166">
        <f t="shared" si="48"/>
        <v>0.39321695720471173</v>
      </c>
      <c r="E104" s="166">
        <f t="shared" si="45"/>
        <v>6.6433069646453236</v>
      </c>
      <c r="F104" s="169">
        <f t="shared" si="46"/>
        <v>4.1013950791601639</v>
      </c>
      <c r="G104" s="170">
        <f t="shared" si="47"/>
        <v>18.479213292641596</v>
      </c>
      <c r="H104" s="174">
        <f t="shared" si="44"/>
        <v>1.4024358090780868</v>
      </c>
    </row>
    <row r="105" spans="1:8" ht="16.5" customHeight="1">
      <c r="A105" s="189" t="s">
        <v>210</v>
      </c>
      <c r="B105" s="190">
        <f>[151]PNEU!$C$26</f>
        <v>1645.4533333333336</v>
      </c>
      <c r="C105" s="165">
        <f t="shared" si="11"/>
        <v>145.86059155512223</v>
      </c>
      <c r="D105" s="166">
        <f t="shared" si="48"/>
        <v>-1.10190409026798</v>
      </c>
      <c r="E105" s="166">
        <f t="shared" si="45"/>
        <v>5.4682000032048705</v>
      </c>
      <c r="F105" s="169">
        <f t="shared" si="46"/>
        <v>2.8829510414159376</v>
      </c>
      <c r="G105" s="170">
        <f t="shared" si="47"/>
        <v>15.876995305164332</v>
      </c>
      <c r="H105" s="174">
        <f t="shared" si="44"/>
        <v>1.4180614866014634</v>
      </c>
    </row>
    <row r="106" spans="1:8" ht="16.5" customHeight="1">
      <c r="A106" s="189" t="s">
        <v>211</v>
      </c>
      <c r="B106" s="190">
        <f>[152]PNEU!$C$26</f>
        <v>1652.3416666666669</v>
      </c>
      <c r="C106" s="165">
        <f t="shared" si="11"/>
        <v>146.47120527140032</v>
      </c>
      <c r="D106" s="166">
        <f t="shared" si="48"/>
        <v>0.41862830101531134</v>
      </c>
      <c r="E106" s="166">
        <f t="shared" si="45"/>
        <v>5.909719736989727</v>
      </c>
      <c r="F106" s="169">
        <f t="shared" si="46"/>
        <v>5.909719736989727</v>
      </c>
      <c r="G106" s="170">
        <f t="shared" si="47"/>
        <v>16.163419369957509</v>
      </c>
      <c r="H106" s="174">
        <f t="shared" si="44"/>
        <v>1.4121498277696805</v>
      </c>
    </row>
    <row r="107" spans="1:8" ht="16.5" customHeight="1">
      <c r="A107" s="189" t="s">
        <v>212</v>
      </c>
      <c r="B107" s="190">
        <f>[153]PNEU!$C$26</f>
        <v>1652.3416666666669</v>
      </c>
      <c r="C107" s="165">
        <f t="shared" ref="C107:C112" si="49">100*B107/B$8</f>
        <v>146.47120527140032</v>
      </c>
      <c r="D107" s="166">
        <f t="shared" si="48"/>
        <v>0</v>
      </c>
      <c r="E107" s="166">
        <f t="shared" ref="E107:E112" si="50">100*(B107/B$106-1)</f>
        <v>0</v>
      </c>
      <c r="F107" s="169">
        <f t="shared" ref="F107:F112" si="51">(100*(B107/B95-1))</f>
        <v>7.7794543869299959</v>
      </c>
      <c r="G107" s="170">
        <f t="shared" ref="G107:G112" si="52">100*(B107/B83-1)</f>
        <v>16.163419369957509</v>
      </c>
      <c r="H107" s="174">
        <f t="shared" si="44"/>
        <v>1.4121498277696805</v>
      </c>
    </row>
    <row r="108" spans="1:8" ht="16.5" customHeight="1">
      <c r="A108" s="189" t="s">
        <v>213</v>
      </c>
      <c r="B108" s="190">
        <f>[154]PNEU!$C$26</f>
        <v>1604.114</v>
      </c>
      <c r="C108" s="165">
        <f t="shared" si="49"/>
        <v>142.1960819076323</v>
      </c>
      <c r="D108" s="166">
        <f t="shared" ref="D108:D113" si="53">100*(B108/B107-1)</f>
        <v>-2.9187466272613261</v>
      </c>
      <c r="E108" s="166">
        <f t="shared" si="50"/>
        <v>-2.9187466272613261</v>
      </c>
      <c r="F108" s="169">
        <f t="shared" si="51"/>
        <v>3.8603208175289616</v>
      </c>
      <c r="G108" s="170">
        <f t="shared" si="52"/>
        <v>9.9838189921151788</v>
      </c>
      <c r="H108" s="174">
        <f t="shared" si="44"/>
        <v>1.4546060940805954</v>
      </c>
    </row>
    <row r="109" spans="1:8" ht="16.5" customHeight="1">
      <c r="A109" s="189" t="s">
        <v>214</v>
      </c>
      <c r="B109" s="190">
        <f>[155]PNEU!$C$26</f>
        <v>1629.7083333333333</v>
      </c>
      <c r="C109" s="165">
        <f t="shared" si="49"/>
        <v>144.46488195490943</v>
      </c>
      <c r="D109" s="166">
        <f t="shared" si="53"/>
        <v>1.5955432926421098</v>
      </c>
      <c r="E109" s="166">
        <f t="shared" si="50"/>
        <v>-1.3697732006596852</v>
      </c>
      <c r="F109" s="169">
        <f t="shared" si="51"/>
        <v>-1.5078641612820576</v>
      </c>
      <c r="G109" s="170">
        <f t="shared" si="52"/>
        <v>9.5672216600948055</v>
      </c>
      <c r="H109" s="174">
        <f t="shared" si="44"/>
        <v>1.4317617160534863</v>
      </c>
    </row>
    <row r="110" spans="1:8" ht="16.5" customHeight="1">
      <c r="A110" s="189" t="s">
        <v>215</v>
      </c>
      <c r="B110" s="190">
        <f>[156]PNEU!$C$26</f>
        <v>1580.0416666666667</v>
      </c>
      <c r="C110" s="165">
        <f t="shared" si="49"/>
        <v>140.06219897763202</v>
      </c>
      <c r="D110" s="166">
        <f t="shared" si="53"/>
        <v>-3.0475800884616322</v>
      </c>
      <c r="E110" s="166">
        <f t="shared" si="50"/>
        <v>-4.3756083538009305</v>
      </c>
      <c r="F110" s="169">
        <f t="shared" si="51"/>
        <v>-3.2425150158961857</v>
      </c>
      <c r="G110" s="170">
        <f t="shared" si="52"/>
        <v>8.4945067521172035</v>
      </c>
      <c r="H110" s="174">
        <f t="shared" si="44"/>
        <v>1.4767673848263496</v>
      </c>
    </row>
    <row r="111" spans="1:8" ht="16.5" customHeight="1">
      <c r="A111" s="189" t="s">
        <v>216</v>
      </c>
      <c r="B111" s="190">
        <f>[157]PNEU!$C$26</f>
        <v>1580.0416666666667</v>
      </c>
      <c r="C111" s="165">
        <f t="shared" si="49"/>
        <v>140.06219897763202</v>
      </c>
      <c r="D111" s="166">
        <f t="shared" si="53"/>
        <v>0</v>
      </c>
      <c r="E111" s="166">
        <f t="shared" si="50"/>
        <v>-4.3756083538009305</v>
      </c>
      <c r="F111" s="169">
        <f t="shared" si="51"/>
        <v>-4.1690421604661188</v>
      </c>
      <c r="G111" s="170">
        <f t="shared" si="52"/>
        <v>9.2446416224936776</v>
      </c>
      <c r="H111" s="174">
        <f t="shared" si="44"/>
        <v>1.4767673848263496</v>
      </c>
    </row>
    <row r="112" spans="1:8" ht="16.5" customHeight="1">
      <c r="A112" s="189" t="s">
        <v>217</v>
      </c>
      <c r="B112" s="190">
        <f>[158]PNEU!$C$26</f>
        <v>1584.2650000000001</v>
      </c>
      <c r="C112" s="165">
        <f t="shared" si="49"/>
        <v>140.43657477174011</v>
      </c>
      <c r="D112" s="166">
        <f t="shared" si="53"/>
        <v>0.26729252920545399</v>
      </c>
      <c r="E112" s="166">
        <f t="shared" si="50"/>
        <v>-4.1200114988324765</v>
      </c>
      <c r="F112" s="169">
        <f t="shared" si="51"/>
        <v>-4.6922970488029296</v>
      </c>
      <c r="G112" s="170">
        <f t="shared" si="52"/>
        <v>6.1262472269888901</v>
      </c>
      <c r="H112" s="174">
        <f t="shared" si="44"/>
        <v>1.4728306186149414</v>
      </c>
    </row>
    <row r="113" spans="1:8" ht="16.5" customHeight="1">
      <c r="A113" s="189" t="s">
        <v>218</v>
      </c>
      <c r="B113" s="190">
        <f>[159]PNEU!$C$26</f>
        <v>1609.7616666666665</v>
      </c>
      <c r="C113" s="165">
        <f t="shared" ref="C113:C118" si="54">100*B113/B$8</f>
        <v>142.69671719410218</v>
      </c>
      <c r="D113" s="166">
        <f t="shared" si="53"/>
        <v>1.6093688029885422</v>
      </c>
      <c r="E113" s="166">
        <f t="shared" ref="E113:E118" si="55">100*(B113/B$106-1)</f>
        <v>-2.5769488755856829</v>
      </c>
      <c r="F113" s="169">
        <f t="shared" ref="F113:F118" si="56">(100*(B113/B101-1))</f>
        <v>-2.8666622417188314</v>
      </c>
      <c r="G113" s="170">
        <f t="shared" ref="G113:G118" si="57">100*(B113/B89-1)</f>
        <v>6.5454633704017606</v>
      </c>
      <c r="H113" s="174">
        <f t="shared" si="44"/>
        <v>1.4495027731848507</v>
      </c>
    </row>
    <row r="114" spans="1:8" ht="16.5" customHeight="1">
      <c r="A114" s="189" t="s">
        <v>219</v>
      </c>
      <c r="B114" s="190">
        <f>[160]PNEU!$C$26</f>
        <v>1615.6450000000002</v>
      </c>
      <c r="C114" s="165">
        <f t="shared" si="54"/>
        <v>143.21824306355822</v>
      </c>
      <c r="D114" s="166">
        <f t="shared" ref="D114:D119" si="58">100*(B114/B113-1)</f>
        <v>0.36547853357176141</v>
      </c>
      <c r="E114" s="166">
        <f t="shared" si="55"/>
        <v>-2.2208885369753073</v>
      </c>
      <c r="F114" s="169">
        <f t="shared" si="56"/>
        <v>-2.5116607432705607</v>
      </c>
      <c r="G114" s="170">
        <f t="shared" si="57"/>
        <v>6.5943346121746238</v>
      </c>
      <c r="H114" s="174">
        <f t="shared" si="44"/>
        <v>1.4442244428695661</v>
      </c>
    </row>
    <row r="115" spans="1:8" ht="16.5" customHeight="1">
      <c r="A115" s="189" t="s">
        <v>220</v>
      </c>
      <c r="B115" s="190">
        <f>[161]PNEU!$C$26</f>
        <v>1615.6450000000002</v>
      </c>
      <c r="C115" s="165">
        <f t="shared" si="54"/>
        <v>143.21824306355822</v>
      </c>
      <c r="D115" s="166">
        <f t="shared" si="58"/>
        <v>0</v>
      </c>
      <c r="E115" s="166">
        <f t="shared" si="55"/>
        <v>-2.2208885369753073</v>
      </c>
      <c r="F115" s="169">
        <f t="shared" si="56"/>
        <v>-2.5116607432705607</v>
      </c>
      <c r="G115" s="170">
        <f t="shared" si="57"/>
        <v>6.215567681283285</v>
      </c>
      <c r="H115" s="174">
        <f t="shared" si="44"/>
        <v>1.4442244428695661</v>
      </c>
    </row>
    <row r="116" spans="1:8" ht="16.5" customHeight="1">
      <c r="A116" s="189" t="s">
        <v>221</v>
      </c>
      <c r="B116" s="190">
        <f>[162]PNEU!$C$26</f>
        <v>1618.2266666666667</v>
      </c>
      <c r="C116" s="165">
        <f t="shared" si="54"/>
        <v>143.44709393375291</v>
      </c>
      <c r="D116" s="166">
        <f t="shared" si="58"/>
        <v>0.15979170341668958</v>
      </c>
      <c r="E116" s="166">
        <f t="shared" si="55"/>
        <v>-2.0646456291828374</v>
      </c>
      <c r="F116" s="169">
        <f t="shared" si="56"/>
        <v>-2.7383318374150645</v>
      </c>
      <c r="G116" s="170">
        <f t="shared" si="57"/>
        <v>1.2507534345142846</v>
      </c>
      <c r="H116" s="174">
        <f t="shared" si="44"/>
        <v>1.4419203737424506</v>
      </c>
    </row>
    <row r="117" spans="1:8" ht="16.5" customHeight="1">
      <c r="A117" s="189" t="s">
        <v>222</v>
      </c>
      <c r="B117" s="190">
        <f>[163]PNEU!$C$26</f>
        <v>1655.0133333333335</v>
      </c>
      <c r="C117" s="165">
        <f t="shared" si="54"/>
        <v>146.70803415772835</v>
      </c>
      <c r="D117" s="166">
        <f t="shared" si="58"/>
        <v>2.273270328837329</v>
      </c>
      <c r="E117" s="166">
        <f t="shared" si="55"/>
        <v>0.16168972317065489</v>
      </c>
      <c r="F117" s="169">
        <f t="shared" si="56"/>
        <v>0.58099490312699675</v>
      </c>
      <c r="G117" s="170">
        <f t="shared" si="57"/>
        <v>3.4806957431531949</v>
      </c>
      <c r="H117" s="174">
        <f t="shared" si="44"/>
        <v>1.4098702125259817</v>
      </c>
    </row>
    <row r="118" spans="1:8" ht="16.5" customHeight="1">
      <c r="A118" s="189" t="s">
        <v>223</v>
      </c>
      <c r="B118" s="190">
        <f>[164]PNEU!$C$26</f>
        <v>1642.2183333333335</v>
      </c>
      <c r="C118" s="165">
        <f t="shared" si="54"/>
        <v>145.57382619744115</v>
      </c>
      <c r="D118" s="166">
        <f t="shared" si="58"/>
        <v>-0.77310555403380388</v>
      </c>
      <c r="E118" s="166">
        <f t="shared" si="55"/>
        <v>-0.61266586309329796</v>
      </c>
      <c r="F118" s="169">
        <f t="shared" si="56"/>
        <v>-0.61266586309329796</v>
      </c>
      <c r="G118" s="170">
        <f t="shared" si="57"/>
        <v>5.2608470384634121</v>
      </c>
      <c r="H118" s="174">
        <f t="shared" si="44"/>
        <v>1.4208549208337098</v>
      </c>
    </row>
    <row r="119" spans="1:8" ht="16.5" customHeight="1">
      <c r="A119" s="189" t="s">
        <v>224</v>
      </c>
      <c r="B119" s="190">
        <f>[165]PNEU!$C$26</f>
        <v>1630.551666666667</v>
      </c>
      <c r="C119" s="165">
        <f t="shared" ref="C119:C124" si="59">100*B119/B$8</f>
        <v>144.53963892089948</v>
      </c>
      <c r="D119" s="166">
        <f t="shared" si="58"/>
        <v>-0.71042116811507183</v>
      </c>
      <c r="E119" s="166">
        <f t="shared" ref="E119:E124" si="60">100*(B119/B$118-1)</f>
        <v>-0.71042116811507183</v>
      </c>
      <c r="F119" s="169">
        <f t="shared" ref="F119:F124" si="61">(100*(B119/B107-1))</f>
        <v>-1.3187345232271386</v>
      </c>
      <c r="G119" s="170">
        <f t="shared" ref="G119:G124" si="62">100*(B119/B95-1)</f>
        <v>6.3581295129837123</v>
      </c>
      <c r="H119" s="174">
        <f t="shared" si="44"/>
        <v>1.4310211983469807</v>
      </c>
    </row>
    <row r="120" spans="1:8" ht="16.5" customHeight="1">
      <c r="A120" s="189" t="s">
        <v>225</v>
      </c>
      <c r="B120" s="190">
        <f>[166]PNEU!$C$26</f>
        <v>1616.1100000000004</v>
      </c>
      <c r="C120" s="165">
        <f t="shared" si="59"/>
        <v>143.2594628135804</v>
      </c>
      <c r="D120" s="166">
        <f t="shared" ref="D120:D125" si="63">100*(B120/B119-1)</f>
        <v>-0.88569206127577793</v>
      </c>
      <c r="E120" s="166">
        <f t="shared" si="60"/>
        <v>-1.5898210855032291</v>
      </c>
      <c r="F120" s="169">
        <f t="shared" si="61"/>
        <v>0.74782714944201523</v>
      </c>
      <c r="G120" s="170">
        <f t="shared" si="62"/>
        <v>4.6370164941000214</v>
      </c>
      <c r="H120" s="174">
        <f t="shared" si="44"/>
        <v>1.4438088991467164</v>
      </c>
    </row>
    <row r="121" spans="1:8" ht="16.5" customHeight="1">
      <c r="A121" s="189" t="s">
        <v>226</v>
      </c>
      <c r="B121" s="190">
        <f>[167]PNEU!$C$26</f>
        <v>1630.2766666666669</v>
      </c>
      <c r="C121" s="165">
        <f t="shared" si="59"/>
        <v>144.51526164938099</v>
      </c>
      <c r="D121" s="166">
        <f t="shared" si="63"/>
        <v>0.87659049610895323</v>
      </c>
      <c r="E121" s="166">
        <f t="shared" si="60"/>
        <v>-0.72716680993493155</v>
      </c>
      <c r="F121" s="169">
        <f t="shared" si="61"/>
        <v>3.4873315777383951E-2</v>
      </c>
      <c r="G121" s="170">
        <f t="shared" si="62"/>
        <v>-1.4735166877351324</v>
      </c>
      <c r="H121" s="174">
        <f t="shared" si="44"/>
        <v>1.4312625873318026</v>
      </c>
    </row>
    <row r="122" spans="1:8" ht="16.5" customHeight="1">
      <c r="A122" s="189" t="s">
        <v>227</v>
      </c>
      <c r="B122" s="190">
        <f>[168]PNEU!$C$26</f>
        <v>1684.9333333333334</v>
      </c>
      <c r="C122" s="165">
        <f t="shared" si="59"/>
        <v>149.36028129893924</v>
      </c>
      <c r="D122" s="166">
        <f t="shared" si="63"/>
        <v>3.3526006833195954</v>
      </c>
      <c r="E122" s="166">
        <f t="shared" si="60"/>
        <v>2.6010548739459072</v>
      </c>
      <c r="F122" s="169">
        <f t="shared" si="61"/>
        <v>6.6385380132380378</v>
      </c>
      <c r="G122" s="170">
        <f t="shared" si="62"/>
        <v>3.1807674054266322</v>
      </c>
      <c r="H122" s="174">
        <f t="shared" si="44"/>
        <v>1.3848346126454065</v>
      </c>
    </row>
    <row r="123" spans="1:8" ht="16.5" customHeight="1">
      <c r="A123" s="189" t="s">
        <v>228</v>
      </c>
      <c r="B123" s="190">
        <f>[169]PNEU!$C$26</f>
        <v>1646.9466666666667</v>
      </c>
      <c r="C123" s="165">
        <f t="shared" si="59"/>
        <v>145.99296752651955</v>
      </c>
      <c r="D123" s="166">
        <f t="shared" si="63"/>
        <v>-2.2544907810398085</v>
      </c>
      <c r="E123" s="166">
        <f t="shared" si="60"/>
        <v>0.28792355056319607</v>
      </c>
      <c r="F123" s="169">
        <f t="shared" si="61"/>
        <v>4.2343820046939706</v>
      </c>
      <c r="G123" s="170">
        <f t="shared" si="62"/>
        <v>-0.11119332678303229</v>
      </c>
      <c r="H123" s="174">
        <f t="shared" si="44"/>
        <v>1.4167756899636501</v>
      </c>
    </row>
    <row r="124" spans="1:8" ht="16.5" customHeight="1">
      <c r="A124" s="189" t="s">
        <v>229</v>
      </c>
      <c r="B124" s="190">
        <f>[170]PNEU!$C$26</f>
        <v>1646.9466666666667</v>
      </c>
      <c r="C124" s="165">
        <f t="shared" si="59"/>
        <v>145.99296752651955</v>
      </c>
      <c r="D124" s="166">
        <f t="shared" si="63"/>
        <v>0</v>
      </c>
      <c r="E124" s="166">
        <f t="shared" si="60"/>
        <v>0.28792355056319607</v>
      </c>
      <c r="F124" s="169">
        <f t="shared" si="61"/>
        <v>3.9565140091251561</v>
      </c>
      <c r="G124" s="170">
        <f t="shared" si="62"/>
        <v>-0.9214344297634347</v>
      </c>
      <c r="H124" s="174">
        <f t="shared" si="44"/>
        <v>1.4167756899636501</v>
      </c>
    </row>
    <row r="125" spans="1:8" ht="16.5" customHeight="1">
      <c r="A125" s="189" t="s">
        <v>230</v>
      </c>
      <c r="B125" s="190">
        <f>[171]PNEU!$C$26</f>
        <v>1670.6899999999998</v>
      </c>
      <c r="C125" s="165">
        <f t="shared" ref="C125:C131" si="64">100*B125/B$8</f>
        <v>148.09768637532133</v>
      </c>
      <c r="D125" s="166">
        <f t="shared" si="63"/>
        <v>1.4416576938334202</v>
      </c>
      <c r="E125" s="166">
        <f t="shared" ref="E125:E130" si="65">100*(B125/B$118-1)</f>
        <v>1.733732116415676</v>
      </c>
      <c r="F125" s="169">
        <f t="shared" ref="F125:F130" si="66">(100*(B125/B113-1))</f>
        <v>3.7849288248674506</v>
      </c>
      <c r="G125" s="170">
        <f t="shared" ref="G125:G130" si="67">100*(B125/B101-1)</f>
        <v>0.80976545765021335</v>
      </c>
      <c r="H125" s="174">
        <f t="shared" si="44"/>
        <v>1.3966409088460459</v>
      </c>
    </row>
    <row r="126" spans="1:8" ht="16.5" customHeight="1">
      <c r="A126" s="189" t="s">
        <v>231</v>
      </c>
      <c r="B126" s="190">
        <f>[172]PNEU!$C$26</f>
        <v>1719.9949999999999</v>
      </c>
      <c r="C126" s="165">
        <f t="shared" si="64"/>
        <v>152.468309547026</v>
      </c>
      <c r="D126" s="166">
        <f t="shared" ref="D126:D131" si="68">100*(B126/B125-1)</f>
        <v>2.9511758614704231</v>
      </c>
      <c r="E126" s="166">
        <f t="shared" si="65"/>
        <v>4.7360734616083144</v>
      </c>
      <c r="F126" s="169">
        <f t="shared" si="66"/>
        <v>6.4587208204772484</v>
      </c>
      <c r="G126" s="170">
        <f t="shared" si="67"/>
        <v>3.7848389218413159</v>
      </c>
      <c r="H126" s="174">
        <f t="shared" si="44"/>
        <v>1.3566051064101934</v>
      </c>
    </row>
    <row r="127" spans="1:8" ht="16.5" customHeight="1">
      <c r="A127" s="189" t="s">
        <v>232</v>
      </c>
      <c r="B127" s="191">
        <f>[173]PNEU!$C$26</f>
        <v>1719.9949999999999</v>
      </c>
      <c r="C127" s="165">
        <f t="shared" si="64"/>
        <v>152.468309547026</v>
      </c>
      <c r="D127" s="166">
        <f t="shared" si="68"/>
        <v>0</v>
      </c>
      <c r="E127" s="166">
        <f t="shared" si="65"/>
        <v>4.7360734616083144</v>
      </c>
      <c r="F127" s="169">
        <f t="shared" si="66"/>
        <v>6.4587208204772484</v>
      </c>
      <c r="G127" s="170">
        <f t="shared" si="67"/>
        <v>3.7848389218413159</v>
      </c>
      <c r="H127" s="174">
        <f t="shared" si="44"/>
        <v>1.3566051064101934</v>
      </c>
    </row>
    <row r="128" spans="1:8" ht="16.5" customHeight="1">
      <c r="A128" s="189" t="s">
        <v>233</v>
      </c>
      <c r="B128" s="191">
        <f>[174]PNEU!$C$26</f>
        <v>1748.3833333333332</v>
      </c>
      <c r="C128" s="165">
        <f t="shared" si="64"/>
        <v>154.98478267293089</v>
      </c>
      <c r="D128" s="166">
        <f t="shared" si="68"/>
        <v>1.6504892940580218</v>
      </c>
      <c r="E128" s="166">
        <f t="shared" si="65"/>
        <v>6.4647311411089037</v>
      </c>
      <c r="F128" s="169">
        <f t="shared" si="66"/>
        <v>8.0431665938846653</v>
      </c>
      <c r="G128" s="170">
        <f t="shared" si="67"/>
        <v>5.0845861648929125</v>
      </c>
      <c r="H128" s="174">
        <f t="shared" si="44"/>
        <v>1.3345780387596162</v>
      </c>
    </row>
    <row r="129" spans="1:8" ht="16.5" customHeight="1">
      <c r="A129" s="189" t="s">
        <v>234</v>
      </c>
      <c r="B129" s="191">
        <f>[175]PNEU!$C$26</f>
        <v>1751.38</v>
      </c>
      <c r="C129" s="165">
        <f t="shared" si="64"/>
        <v>155.25042106196261</v>
      </c>
      <c r="D129" s="166">
        <f t="shared" si="68"/>
        <v>0.1713964328951656</v>
      </c>
      <c r="E129" s="166">
        <f t="shared" si="65"/>
        <v>6.6472078925762013</v>
      </c>
      <c r="F129" s="169">
        <f t="shared" si="66"/>
        <v>5.8227124051366985</v>
      </c>
      <c r="G129" s="170">
        <f t="shared" si="67"/>
        <v>6.4375369705612862</v>
      </c>
      <c r="H129" s="174">
        <f t="shared" si="44"/>
        <v>1.3322945334536196</v>
      </c>
    </row>
    <row r="130" spans="1:8" ht="16.5" customHeight="1">
      <c r="A130" s="189" t="s">
        <v>235</v>
      </c>
      <c r="B130" s="191">
        <f>[176]PNEU!$C$26</f>
        <v>1751.38</v>
      </c>
      <c r="C130" s="165">
        <f t="shared" si="64"/>
        <v>155.25042106196261</v>
      </c>
      <c r="D130" s="166">
        <f t="shared" si="68"/>
        <v>0</v>
      </c>
      <c r="E130" s="166">
        <f t="shared" si="65"/>
        <v>6.6472078925762013</v>
      </c>
      <c r="F130" s="169">
        <f t="shared" si="66"/>
        <v>6.6472078925762013</v>
      </c>
      <c r="G130" s="170">
        <f t="shared" si="67"/>
        <v>5.993816855876255</v>
      </c>
      <c r="H130" s="174">
        <f t="shared" si="44"/>
        <v>1.3322945334536196</v>
      </c>
    </row>
    <row r="131" spans="1:8" ht="16.5" customHeight="1">
      <c r="A131" s="189" t="s">
        <v>236</v>
      </c>
      <c r="B131" s="191">
        <f>[177]PNEU!$C$26</f>
        <v>1732.4760000000001</v>
      </c>
      <c r="C131" s="165">
        <f t="shared" si="64"/>
        <v>153.57468309547028</v>
      </c>
      <c r="D131" s="166">
        <f t="shared" si="68"/>
        <v>-1.0793774052461513</v>
      </c>
      <c r="E131" s="166">
        <f t="shared" ref="E131:E136" si="69">100*(B131/B$130-1)</f>
        <v>-1.0793774052461513</v>
      </c>
      <c r="F131" s="169">
        <f t="shared" ref="F131:F136" si="70">(100*(B131/B119-1))</f>
        <v>6.2509109902476601</v>
      </c>
      <c r="G131" s="170">
        <f t="shared" ref="G131:G136" si="71">100*(B131/B107-1)</f>
        <v>4.8497435457759419</v>
      </c>
      <c r="H131" s="174">
        <f t="shared" si="44"/>
        <v>1.3468319330253349</v>
      </c>
    </row>
    <row r="132" spans="1:8" ht="16.5" customHeight="1">
      <c r="A132" s="189" t="s">
        <v>237</v>
      </c>
      <c r="B132" s="191">
        <f>[178]PNEU!$C$26</f>
        <v>1745.7060000000001</v>
      </c>
      <c r="C132" s="165">
        <f t="shared" ref="C132:C137" si="72">100*B132/B$8</f>
        <v>154.74745146706854</v>
      </c>
      <c r="D132" s="166">
        <f t="shared" ref="D132:D137" si="73">100*(B132/B131-1)</f>
        <v>0.76364694229531516</v>
      </c>
      <c r="E132" s="166">
        <f t="shared" si="69"/>
        <v>-0.32397309550182829</v>
      </c>
      <c r="F132" s="169">
        <f t="shared" si="70"/>
        <v>8.0190086070873754</v>
      </c>
      <c r="G132" s="170">
        <f t="shared" si="71"/>
        <v>8.8268040800092873</v>
      </c>
      <c r="H132" s="174">
        <f t="shared" si="44"/>
        <v>1.3366248383175632</v>
      </c>
    </row>
    <row r="133" spans="1:8" ht="16.5" customHeight="1">
      <c r="A133" s="189" t="s">
        <v>238</v>
      </c>
      <c r="B133" s="191">
        <f>[179]PNEU!$C$26</f>
        <v>1749.7060000000001</v>
      </c>
      <c r="C133" s="165">
        <f t="shared" si="72"/>
        <v>155.10202996188283</v>
      </c>
      <c r="D133" s="166">
        <f t="shared" si="73"/>
        <v>0.22913365709920086</v>
      </c>
      <c r="E133" s="166">
        <f t="shared" si="69"/>
        <v>-9.558176980438704E-2</v>
      </c>
      <c r="F133" s="169">
        <f t="shared" si="70"/>
        <v>7.3257095421431551</v>
      </c>
      <c r="G133" s="170">
        <f t="shared" si="71"/>
        <v>7.3631375757420958</v>
      </c>
      <c r="H133" s="174">
        <f t="shared" si="44"/>
        <v>1.3335691824797995</v>
      </c>
    </row>
    <row r="134" spans="1:8" ht="16.5" customHeight="1">
      <c r="A134" s="189" t="s">
        <v>239</v>
      </c>
      <c r="B134" s="191">
        <f>[180]PNEU!$C$26</f>
        <v>1735.8240000000001</v>
      </c>
      <c r="C134" s="165">
        <f t="shared" si="72"/>
        <v>153.87146529562983</v>
      </c>
      <c r="D134" s="166">
        <f t="shared" si="73"/>
        <v>-0.79339043244980312</v>
      </c>
      <c r="E134" s="166">
        <f t="shared" si="69"/>
        <v>-0.88821386563738836</v>
      </c>
      <c r="F134" s="169">
        <f t="shared" si="70"/>
        <v>3.0203371053256323</v>
      </c>
      <c r="G134" s="170">
        <f t="shared" si="71"/>
        <v>9.8593813454286519</v>
      </c>
      <c r="H134" s="174">
        <f t="shared" si="44"/>
        <v>1.3442342080763949</v>
      </c>
    </row>
    <row r="135" spans="1:8" ht="16.5" customHeight="1">
      <c r="A135" s="189" t="s">
        <v>240</v>
      </c>
      <c r="B135" s="191">
        <f>[181]PNEU!$C$26</f>
        <v>1735.8240000000001</v>
      </c>
      <c r="C135" s="165">
        <f t="shared" si="72"/>
        <v>153.87146529562983</v>
      </c>
      <c r="D135" s="166">
        <f t="shared" si="73"/>
        <v>0</v>
      </c>
      <c r="E135" s="166">
        <f t="shared" si="69"/>
        <v>-0.88821386563738836</v>
      </c>
      <c r="F135" s="169">
        <f t="shared" si="70"/>
        <v>5.3964912848827318</v>
      </c>
      <c r="G135" s="170">
        <f t="shared" si="71"/>
        <v>9.8593813454286519</v>
      </c>
      <c r="H135" s="174">
        <f t="shared" si="44"/>
        <v>1.3442342080763949</v>
      </c>
    </row>
    <row r="136" spans="1:8" ht="16.5" customHeight="1">
      <c r="A136" s="189" t="s">
        <v>241</v>
      </c>
      <c r="B136" s="191">
        <f>[182]PNEU!$C$26</f>
        <v>1719.0940000000003</v>
      </c>
      <c r="C136" s="165">
        <f t="shared" si="72"/>
        <v>152.38844074106908</v>
      </c>
      <c r="D136" s="166">
        <f t="shared" si="73"/>
        <v>-0.96380739061101561</v>
      </c>
      <c r="E136" s="166">
        <f t="shared" si="69"/>
        <v>-1.8434605853669628</v>
      </c>
      <c r="F136" s="169">
        <f t="shared" si="70"/>
        <v>4.3806721124343362</v>
      </c>
      <c r="G136" s="170">
        <f t="shared" si="71"/>
        <v>8.5105080273818032</v>
      </c>
      <c r="H136" s="174">
        <f t="shared" si="44"/>
        <v>1.3573161211661491</v>
      </c>
    </row>
    <row r="137" spans="1:8" ht="16.5" customHeight="1">
      <c r="A137" s="189" t="s">
        <v>242</v>
      </c>
      <c r="B137" s="191">
        <f>[183]PNEU!$C$26</f>
        <v>1719.0940000000003</v>
      </c>
      <c r="C137" s="165">
        <f t="shared" si="72"/>
        <v>152.38844074106908</v>
      </c>
      <c r="D137" s="166">
        <f t="shared" si="73"/>
        <v>0</v>
      </c>
      <c r="E137" s="166">
        <f t="shared" ref="E137:E142" si="74">100*(B137/B$130-1)</f>
        <v>-1.8434605853669628</v>
      </c>
      <c r="F137" s="169">
        <f t="shared" ref="F137:F142" si="75">(100*(B137/B125-1))</f>
        <v>2.8972460480400697</v>
      </c>
      <c r="G137" s="170">
        <f t="shared" ref="G137:G142" si="76">100*(B137/B113-1)</f>
        <v>6.7918335737070956</v>
      </c>
      <c r="H137" s="174">
        <f t="shared" si="44"/>
        <v>1.3573161211661491</v>
      </c>
    </row>
    <row r="138" spans="1:8" ht="16.5" customHeight="1">
      <c r="A138" s="189" t="s">
        <v>243</v>
      </c>
      <c r="B138" s="191">
        <f>[184]PNEU!$C$26</f>
        <v>1715.0940000000003</v>
      </c>
      <c r="C138" s="165">
        <f t="shared" ref="C138:C143" si="77">100*B138/B$8</f>
        <v>152.03386224625478</v>
      </c>
      <c r="D138" s="166">
        <f t="shared" ref="D138:D143" si="78">100*(B138/B137-1)</f>
        <v>-0.2326807027422606</v>
      </c>
      <c r="E138" s="166">
        <f t="shared" si="74"/>
        <v>-2.071851911064404</v>
      </c>
      <c r="F138" s="169">
        <f t="shared" si="75"/>
        <v>-0.28494268878686002</v>
      </c>
      <c r="G138" s="170">
        <f t="shared" si="76"/>
        <v>6.1553744789232923</v>
      </c>
      <c r="H138" s="174">
        <f t="shared" si="44"/>
        <v>1.360481699545331</v>
      </c>
    </row>
    <row r="139" spans="1:8" ht="16.5" customHeight="1">
      <c r="A139" s="189" t="s">
        <v>244</v>
      </c>
      <c r="B139" s="191">
        <f>[185]PNEU!$C$26</f>
        <v>1715.0940000000003</v>
      </c>
      <c r="C139" s="165">
        <f t="shared" si="77"/>
        <v>152.03386224625478</v>
      </c>
      <c r="D139" s="166">
        <f t="shared" si="78"/>
        <v>0</v>
      </c>
      <c r="E139" s="166">
        <f t="shared" si="74"/>
        <v>-2.071851911064404</v>
      </c>
      <c r="F139" s="169">
        <f t="shared" si="75"/>
        <v>-0.28494268878686002</v>
      </c>
      <c r="G139" s="170">
        <f t="shared" si="76"/>
        <v>6.1553744789232923</v>
      </c>
      <c r="H139" s="174">
        <f t="shared" si="44"/>
        <v>1.360481699545331</v>
      </c>
    </row>
    <row r="140" spans="1:8" ht="16.5" customHeight="1">
      <c r="A140" s="189" t="s">
        <v>245</v>
      </c>
      <c r="B140" s="191">
        <f>[186]PNEU!$C$26</f>
        <v>1707.0940000000003</v>
      </c>
      <c r="C140" s="165">
        <f t="shared" si="77"/>
        <v>151.32470525662623</v>
      </c>
      <c r="D140" s="166">
        <f t="shared" si="78"/>
        <v>-0.46644673703015727</v>
      </c>
      <c r="E140" s="166">
        <f t="shared" si="74"/>
        <v>-2.5286345624593087</v>
      </c>
      <c r="F140" s="169">
        <f t="shared" si="75"/>
        <v>-2.3615721190051508</v>
      </c>
      <c r="G140" s="170">
        <f t="shared" si="76"/>
        <v>5.4916492951131879</v>
      </c>
      <c r="H140" s="174">
        <f t="shared" si="44"/>
        <v>1.3668573611060668</v>
      </c>
    </row>
    <row r="141" spans="1:8" ht="16.5" customHeight="1">
      <c r="A141" s="189" t="s">
        <v>246</v>
      </c>
      <c r="B141" s="191">
        <f>[187]PNEU!$C$26</f>
        <v>1667.2660000000001</v>
      </c>
      <c r="C141" s="165">
        <f t="shared" si="77"/>
        <v>147.79416718376032</v>
      </c>
      <c r="D141" s="166">
        <f t="shared" si="78"/>
        <v>-2.3330876917147081</v>
      </c>
      <c r="E141" s="166">
        <f t="shared" si="74"/>
        <v>-4.8027269924288296</v>
      </c>
      <c r="F141" s="169">
        <f t="shared" si="75"/>
        <v>-4.8027269924288296</v>
      </c>
      <c r="G141" s="170">
        <f t="shared" si="76"/>
        <v>0.74033643233488711</v>
      </c>
      <c r="H141" s="174">
        <f t="shared" si="44"/>
        <v>1.3995091365145096</v>
      </c>
    </row>
    <row r="142" spans="1:8" ht="16.5" customHeight="1">
      <c r="A142" s="189" t="s">
        <v>247</v>
      </c>
      <c r="B142" s="191">
        <f>[188]PNEU!$C$26</f>
        <v>1667.2660000000001</v>
      </c>
      <c r="C142" s="165">
        <f t="shared" si="77"/>
        <v>147.79416718376032</v>
      </c>
      <c r="D142" s="166">
        <f t="shared" si="78"/>
        <v>0</v>
      </c>
      <c r="E142" s="166">
        <f t="shared" si="74"/>
        <v>-4.8027269924288296</v>
      </c>
      <c r="F142" s="169">
        <f t="shared" si="75"/>
        <v>-4.8027269924288296</v>
      </c>
      <c r="G142" s="170">
        <f t="shared" si="76"/>
        <v>1.5252336524477439</v>
      </c>
      <c r="H142" s="174">
        <f t="shared" si="44"/>
        <v>1.3995091365145096</v>
      </c>
    </row>
    <row r="143" spans="1:8" ht="16.5" customHeight="1">
      <c r="A143" s="189" t="s">
        <v>248</v>
      </c>
      <c r="B143" s="191">
        <f>[189]PNEU!$C$26</f>
        <v>1660.884</v>
      </c>
      <c r="C143" s="165">
        <f t="shared" si="77"/>
        <v>147.2284371952841</v>
      </c>
      <c r="D143" s="166">
        <f t="shared" si="78"/>
        <v>-0.38278235146641526</v>
      </c>
      <c r="E143" s="166">
        <f t="shared" ref="E143:E148" si="79">100*(B143/B$142-1)</f>
        <v>-0.38278235146641526</v>
      </c>
      <c r="F143" s="169">
        <f t="shared" ref="F143:F148" si="80">(100*(B143/B131-1))</f>
        <v>-4.1323516169921026</v>
      </c>
      <c r="G143" s="170">
        <f t="shared" ref="G143:G148" si="81">100*(B143/B119-1)</f>
        <v>1.860249751873333</v>
      </c>
      <c r="H143" s="174">
        <f t="shared" si="44"/>
        <v>1.4048867952247117</v>
      </c>
    </row>
    <row r="144" spans="1:8" ht="16.5" customHeight="1">
      <c r="A144" s="163" t="s">
        <v>249</v>
      </c>
      <c r="B144" s="191">
        <f>[190]PNEU!$C$26</f>
        <v>1706.402</v>
      </c>
      <c r="C144" s="165">
        <f t="shared" ref="C144:C150" si="82">100*B144/B$8</f>
        <v>151.26336317702334</v>
      </c>
      <c r="D144" s="166">
        <f t="shared" ref="D144:D149" si="83">100*(B144/B143-1)</f>
        <v>2.7405887467156109</v>
      </c>
      <c r="E144" s="166">
        <f t="shared" si="79"/>
        <v>2.3473159052004977</v>
      </c>
      <c r="F144" s="169">
        <f t="shared" si="80"/>
        <v>-2.2514673146566522</v>
      </c>
      <c r="G144" s="170">
        <f t="shared" si="81"/>
        <v>5.586995934682637</v>
      </c>
      <c r="H144" s="174">
        <f t="shared" si="44"/>
        <v>1.3674116650121133</v>
      </c>
    </row>
    <row r="145" spans="1:8" ht="16.5" customHeight="1">
      <c r="A145" s="163" t="s">
        <v>250</v>
      </c>
      <c r="B145" s="191">
        <f>[191]PNEU!$C$26</f>
        <v>1736.5940000000003</v>
      </c>
      <c r="C145" s="165">
        <f t="shared" si="82"/>
        <v>153.93972165588161</v>
      </c>
      <c r="D145" s="166">
        <f t="shared" si="83"/>
        <v>1.7693368854466929</v>
      </c>
      <c r="E145" s="166">
        <f t="shared" si="79"/>
        <v>4.1581847167758701</v>
      </c>
      <c r="F145" s="169">
        <f t="shared" si="80"/>
        <v>-0.74938303920771832</v>
      </c>
      <c r="G145" s="170">
        <f t="shared" si="81"/>
        <v>6.5214288781249907</v>
      </c>
      <c r="H145" s="174">
        <f t="shared" si="44"/>
        <v>1.3436381791023118</v>
      </c>
    </row>
    <row r="146" spans="1:8" ht="16.5" customHeight="1">
      <c r="A146" s="163" t="s">
        <v>252</v>
      </c>
      <c r="B146" s="191">
        <f>[192]PNEU!$C$26</f>
        <v>1709.0760000000002</v>
      </c>
      <c r="C146" s="165">
        <f t="shared" si="82"/>
        <v>151.50039890080672</v>
      </c>
      <c r="D146" s="166">
        <f t="shared" si="83"/>
        <v>-1.5845960541151283</v>
      </c>
      <c r="E146" s="166">
        <f t="shared" si="79"/>
        <v>2.5076982317158825</v>
      </c>
      <c r="F146" s="169">
        <f t="shared" si="80"/>
        <v>-1.5409396344329696</v>
      </c>
      <c r="G146" s="170">
        <f t="shared" si="81"/>
        <v>1.4328558993432106</v>
      </c>
      <c r="H146" s="174">
        <f t="shared" si="44"/>
        <v>1.3652722289705079</v>
      </c>
    </row>
    <row r="147" spans="1:8" ht="16.5" customHeight="1">
      <c r="A147" s="163" t="s">
        <v>253</v>
      </c>
      <c r="B147" s="191">
        <f>[193]PNEU!$C$26</f>
        <v>1709.0760000000002</v>
      </c>
      <c r="C147" s="165">
        <f t="shared" si="82"/>
        <v>151.50039890080672</v>
      </c>
      <c r="D147" s="166">
        <f t="shared" si="83"/>
        <v>0</v>
      </c>
      <c r="E147" s="166">
        <f t="shared" si="79"/>
        <v>2.5076982317158825</v>
      </c>
      <c r="F147" s="169">
        <f t="shared" si="80"/>
        <v>-1.5409396344329696</v>
      </c>
      <c r="G147" s="170">
        <f t="shared" si="81"/>
        <v>3.7723949773722731</v>
      </c>
      <c r="H147" s="174">
        <f t="shared" si="44"/>
        <v>1.3652722289705079</v>
      </c>
    </row>
    <row r="148" spans="1:8" ht="16.5" customHeight="1">
      <c r="A148" s="163" t="s">
        <v>254</v>
      </c>
      <c r="B148" s="191">
        <f>[194]PNEU!$C$26</f>
        <v>1722.6220000000001</v>
      </c>
      <c r="C148" s="165">
        <f t="shared" si="82"/>
        <v>152.70117897349527</v>
      </c>
      <c r="D148" s="166">
        <f t="shared" si="83"/>
        <v>0.79259202048356237</v>
      </c>
      <c r="E148" s="166">
        <f t="shared" si="79"/>
        <v>3.320166068281849</v>
      </c>
      <c r="F148" s="169">
        <f t="shared" si="80"/>
        <v>0.20522437981866926</v>
      </c>
      <c r="G148" s="170">
        <f t="shared" si="81"/>
        <v>4.594886699427625</v>
      </c>
      <c r="H148" s="174">
        <f t="shared" si="44"/>
        <v>1.3545362824810088</v>
      </c>
    </row>
    <row r="149" spans="1:8" ht="16.5" customHeight="1">
      <c r="A149" s="163" t="s">
        <v>255</v>
      </c>
      <c r="B149" s="191">
        <f>[195]PNEU!$C$26</f>
        <v>1781.4540000000002</v>
      </c>
      <c r="C149" s="165">
        <f t="shared" si="82"/>
        <v>157.91631947522387</v>
      </c>
      <c r="D149" s="166">
        <f t="shared" si="83"/>
        <v>3.4152588321756161</v>
      </c>
      <c r="E149" s="166">
        <f t="shared" ref="E149:E154" si="84">100*(B149/B$142-1)</f>
        <v>6.848817165347354</v>
      </c>
      <c r="F149" s="169">
        <f t="shared" ref="F149:F154" si="85">(100*(B149/B137-1))</f>
        <v>3.6274921557517992</v>
      </c>
      <c r="G149" s="170">
        <f t="shared" ref="G149:G154" si="86">100*(B149/B125-1)</f>
        <v>6.6298355769173423</v>
      </c>
      <c r="H149" s="174">
        <f t="shared" si="44"/>
        <v>1.309803115881746</v>
      </c>
    </row>
    <row r="150" spans="1:8" ht="16.5" customHeight="1">
      <c r="A150" s="163" t="str">
        <f>Rodoar!A150</f>
        <v>AGOSTO|15</v>
      </c>
      <c r="B150" s="191">
        <f>[196]PNEU!$C$26</f>
        <v>1780.5280000000002</v>
      </c>
      <c r="C150" s="165">
        <f t="shared" si="82"/>
        <v>157.83423455367435</v>
      </c>
      <c r="D150" s="166">
        <f t="shared" ref="D150:D155" si="87">100*(B150/B149-1)</f>
        <v>-5.1980011833030471E-2</v>
      </c>
      <c r="E150" s="166">
        <f t="shared" si="84"/>
        <v>6.7932771375413425</v>
      </c>
      <c r="F150" s="169">
        <f t="shared" si="85"/>
        <v>3.8151844738539165</v>
      </c>
      <c r="G150" s="170">
        <f t="shared" si="86"/>
        <v>3.5193706958450699</v>
      </c>
      <c r="H150" s="174">
        <f t="shared" si="44"/>
        <v>1.3104843057789599</v>
      </c>
    </row>
    <row r="151" spans="1:8" ht="16.5" customHeight="1">
      <c r="A151" s="163" t="str">
        <f>Rodoar!A151</f>
        <v>SETEMBRO|15</v>
      </c>
      <c r="B151" s="191">
        <f>[197]PNEU!$C$26</f>
        <v>1758.2580000000003</v>
      </c>
      <c r="C151" s="165">
        <f t="shared" ref="C151:C157" si="88">100*B151/B$8</f>
        <v>155.8601187837958</v>
      </c>
      <c r="D151" s="166">
        <f t="shared" si="87"/>
        <v>-1.250752585749848</v>
      </c>
      <c r="E151" s="166">
        <f t="shared" si="84"/>
        <v>5.4575574623365597</v>
      </c>
      <c r="F151" s="169">
        <f t="shared" si="85"/>
        <v>2.5167133696462063</v>
      </c>
      <c r="G151" s="170">
        <f t="shared" si="86"/>
        <v>2.2245994901148203</v>
      </c>
      <c r="H151" s="174">
        <f t="shared" si="44"/>
        <v>1.327082828572371</v>
      </c>
    </row>
    <row r="152" spans="1:8" ht="16.5" customHeight="1">
      <c r="A152" s="163" t="str">
        <f>Rodoar!A152</f>
        <v>OUTUBRO|15</v>
      </c>
      <c r="B152" s="191">
        <f>[198]PNEU!$C$26</f>
        <v>1694.19</v>
      </c>
      <c r="C152" s="165">
        <f t="shared" si="88"/>
        <v>150.1808350323553</v>
      </c>
      <c r="D152" s="166">
        <f t="shared" si="87"/>
        <v>-3.6438338400849091</v>
      </c>
      <c r="E152" s="166">
        <f t="shared" si="84"/>
        <v>1.6148592965969488</v>
      </c>
      <c r="F152" s="169">
        <f t="shared" si="85"/>
        <v>-0.75590447860517385</v>
      </c>
      <c r="G152" s="170">
        <f t="shared" si="86"/>
        <v>-3.0996253681972785</v>
      </c>
      <c r="H152" s="174">
        <f t="shared" si="44"/>
        <v>1.3772681930598103</v>
      </c>
    </row>
    <row r="153" spans="1:8" ht="16.5" customHeight="1">
      <c r="A153" s="163" t="str">
        <f>Rodoar!A153</f>
        <v>NOVEMBRO|15</v>
      </c>
      <c r="B153" s="191">
        <f>[199]PNEU!$C$26</f>
        <v>1726.328</v>
      </c>
      <c r="C153" s="165">
        <f t="shared" si="88"/>
        <v>153.02969594894071</v>
      </c>
      <c r="D153" s="166">
        <f t="shared" si="87"/>
        <v>1.8969537064910114</v>
      </c>
      <c r="E153" s="166">
        <f t="shared" si="84"/>
        <v>3.5424461363693593</v>
      </c>
      <c r="F153" s="169">
        <f t="shared" si="85"/>
        <v>3.5424461363693593</v>
      </c>
      <c r="G153" s="170">
        <f t="shared" si="86"/>
        <v>-1.4304148728431332</v>
      </c>
      <c r="H153" s="174">
        <f t="shared" si="44"/>
        <v>1.3516284275062447</v>
      </c>
    </row>
    <row r="154" spans="1:8" ht="16.5" customHeight="1">
      <c r="A154" s="163" t="str">
        <f>Rodoar!A154</f>
        <v>DEZEMBRO|15</v>
      </c>
      <c r="B154" s="191">
        <f>[200]PNEU!$C$26</f>
        <v>1722.5059999999999</v>
      </c>
      <c r="C154" s="165">
        <f t="shared" si="88"/>
        <v>152.69089619714563</v>
      </c>
      <c r="D154" s="166">
        <f t="shared" si="87"/>
        <v>-0.22139477550037201</v>
      </c>
      <c r="E154" s="166">
        <f t="shared" si="84"/>
        <v>3.3132085701981451</v>
      </c>
      <c r="F154" s="169">
        <f t="shared" si="85"/>
        <v>3.3132085701981451</v>
      </c>
      <c r="G154" s="170">
        <f t="shared" si="86"/>
        <v>-1.6486427845470608</v>
      </c>
      <c r="H154" s="174">
        <f t="shared" si="44"/>
        <v>1.3546275020232152</v>
      </c>
    </row>
    <row r="155" spans="1:8" ht="16.5" customHeight="1">
      <c r="A155" s="163" t="str">
        <f>Rodoar!A155</f>
        <v>JANEIRO|16</v>
      </c>
      <c r="B155" s="191">
        <f>[201]PNEU!$C$26</f>
        <v>1743.5739999999998</v>
      </c>
      <c r="C155" s="165">
        <f t="shared" si="88"/>
        <v>154.5584611293325</v>
      </c>
      <c r="D155" s="166">
        <f t="shared" si="87"/>
        <v>1.2231016902118252</v>
      </c>
      <c r="E155" s="166">
        <f t="shared" ref="E155:E160" si="89">100*(B155/B$154-1)</f>
        <v>1.2231016902118252</v>
      </c>
      <c r="F155" s="169">
        <f t="shared" ref="F155:F160" si="90">(100*(B155/B143-1))</f>
        <v>4.9786740073358482</v>
      </c>
      <c r="G155" s="170">
        <f t="shared" ref="G155:G160" si="91">100*(B155/B131-1)</f>
        <v>0.64058607449684057</v>
      </c>
      <c r="H155" s="174">
        <f t="shared" si="44"/>
        <v>1.3382592307524661</v>
      </c>
    </row>
    <row r="156" spans="1:8" ht="16.5" customHeight="1">
      <c r="A156" s="163" t="str">
        <f>Rodoar!A156</f>
        <v>FEVEREIRO|16</v>
      </c>
      <c r="B156" s="191">
        <f>[202]PNEU!$C$26</f>
        <v>1729.6020000000001</v>
      </c>
      <c r="C156" s="165">
        <f t="shared" si="88"/>
        <v>153.31991844694622</v>
      </c>
      <c r="D156" s="166">
        <f t="shared" ref="D156:D161" si="92">100*(B156/B155-1)</f>
        <v>-0.80134252976929998</v>
      </c>
      <c r="E156" s="166">
        <f t="shared" si="89"/>
        <v>0.41195792641652851</v>
      </c>
      <c r="F156" s="169">
        <f t="shared" si="90"/>
        <v>1.3595858420231588</v>
      </c>
      <c r="G156" s="170">
        <f t="shared" si="91"/>
        <v>-0.9224921034813427</v>
      </c>
      <c r="H156" s="174">
        <f t="shared" si="44"/>
        <v>1.3490699016305485</v>
      </c>
    </row>
    <row r="157" spans="1:8" ht="16.5" customHeight="1">
      <c r="A157" s="163" t="str">
        <f>Rodoar!A157</f>
        <v>MARÇO|16</v>
      </c>
      <c r="B157" s="191">
        <f>[203]PNEU!$C$26</f>
        <v>1765.6039999999998</v>
      </c>
      <c r="C157" s="165">
        <f t="shared" si="88"/>
        <v>156.51130218952221</v>
      </c>
      <c r="D157" s="166">
        <f t="shared" si="92"/>
        <v>2.0815193321931602</v>
      </c>
      <c r="E157" s="166">
        <f t="shared" si="89"/>
        <v>2.5020522424885616</v>
      </c>
      <c r="F157" s="169">
        <f t="shared" si="90"/>
        <v>1.6705113572890173</v>
      </c>
      <c r="G157" s="170">
        <f t="shared" si="91"/>
        <v>0.90860978930171754</v>
      </c>
      <c r="H157" s="174">
        <f t="shared" si="44"/>
        <v>1.3215613467119469</v>
      </c>
    </row>
    <row r="158" spans="1:8" ht="16.5" customHeight="1">
      <c r="A158" s="163" t="str">
        <f>Rodoar!A158</f>
        <v>ABRIL|16</v>
      </c>
      <c r="B158" s="191">
        <f>[204]PNEU!$C$26</f>
        <v>1769.2699999999998</v>
      </c>
      <c r="C158" s="165">
        <f t="shared" ref="C158:C164" si="93">100*B158/B$8</f>
        <v>156.83627338001949</v>
      </c>
      <c r="D158" s="166">
        <f t="shared" si="92"/>
        <v>0.20763432796935266</v>
      </c>
      <c r="E158" s="166">
        <f t="shared" si="89"/>
        <v>2.7148816898170391</v>
      </c>
      <c r="F158" s="169">
        <f t="shared" si="90"/>
        <v>3.5220200857071005</v>
      </c>
      <c r="G158" s="170">
        <f t="shared" si="91"/>
        <v>1.9268082478407722</v>
      </c>
      <c r="H158" s="174">
        <f t="shared" si="44"/>
        <v>1.3188230174026578</v>
      </c>
    </row>
    <row r="159" spans="1:8" ht="16.5" customHeight="1">
      <c r="A159" s="163" t="str">
        <f>Rodoar!A159</f>
        <v>MAIO|16</v>
      </c>
      <c r="B159" s="191">
        <f>[205]PNEU!$C$26</f>
        <v>1769.2699999999998</v>
      </c>
      <c r="C159" s="165">
        <f t="shared" si="93"/>
        <v>156.83627338001949</v>
      </c>
      <c r="D159" s="166">
        <f t="shared" si="92"/>
        <v>0</v>
      </c>
      <c r="E159" s="166">
        <f t="shared" si="89"/>
        <v>2.7148816898170391</v>
      </c>
      <c r="F159" s="169">
        <f t="shared" si="90"/>
        <v>3.5220200857071005</v>
      </c>
      <c r="G159" s="170">
        <f t="shared" si="91"/>
        <v>1.9268082478407722</v>
      </c>
      <c r="H159" s="174">
        <f t="shared" si="44"/>
        <v>1.3188230174026578</v>
      </c>
    </row>
    <row r="160" spans="1:8" ht="16.5" customHeight="1">
      <c r="A160" s="163" t="str">
        <f>Rodoar!A160</f>
        <v>JUNHO|16</v>
      </c>
      <c r="B160" s="191">
        <f>[206]PNEU!$C$26</f>
        <v>1804.7139999999999</v>
      </c>
      <c r="C160" s="165">
        <f t="shared" si="93"/>
        <v>159.97819342256892</v>
      </c>
      <c r="D160" s="166">
        <f t="shared" si="92"/>
        <v>2.0033121004708221</v>
      </c>
      <c r="E160" s="166">
        <f t="shared" si="89"/>
        <v>4.7725813436934272</v>
      </c>
      <c r="F160" s="169">
        <f t="shared" si="90"/>
        <v>4.7655260411163747</v>
      </c>
      <c r="G160" s="170">
        <f t="shared" si="91"/>
        <v>4.9805304421980168</v>
      </c>
      <c r="H160" s="174">
        <f t="shared" si="44"/>
        <v>1.2929217593480187</v>
      </c>
    </row>
    <row r="161" spans="1:8" ht="16.5" customHeight="1">
      <c r="A161" s="163" t="str">
        <f>Rodoar!A161</f>
        <v>JULHO|16</v>
      </c>
      <c r="B161" s="191">
        <f>[207]PNEU!$C$26</f>
        <v>1794.0239999999999</v>
      </c>
      <c r="C161" s="165">
        <f t="shared" si="93"/>
        <v>159.03058239517773</v>
      </c>
      <c r="D161" s="166">
        <f t="shared" si="92"/>
        <v>-0.59233762247092869</v>
      </c>
      <c r="E161" s="166">
        <f t="shared" ref="E161" si="94">100*(B161/B$154-1)</f>
        <v>4.1519739263607747</v>
      </c>
      <c r="F161" s="169">
        <f t="shared" ref="F161" si="95">(100*(B161/B149-1))</f>
        <v>0.7056034003684486</v>
      </c>
      <c r="G161" s="170">
        <f t="shared" ref="G161" si="96">100*(B161/B137-1)</f>
        <v>4.3586912641193409</v>
      </c>
      <c r="H161" s="174">
        <f t="shared" ref="H161:H211" si="97">+B$211/B161</f>
        <v>1.3006258556184311</v>
      </c>
    </row>
    <row r="162" spans="1:8" ht="16.5" customHeight="1">
      <c r="A162" s="163" t="str">
        <f>Rodoar!A162</f>
        <v>AGOSTO|16</v>
      </c>
      <c r="B162" s="191">
        <f>[208]PNEU!$C$26</f>
        <v>1801.3700000000001</v>
      </c>
      <c r="C162" s="165">
        <f t="shared" si="93"/>
        <v>159.6817658009042</v>
      </c>
      <c r="D162" s="166">
        <f t="shared" ref="D162" si="98">100*(B162/B161-1)</f>
        <v>0.40947055334823457</v>
      </c>
      <c r="E162" s="166">
        <f t="shared" ref="E162" si="99">100*(B162/B$154-1)</f>
        <v>4.5784455903201682</v>
      </c>
      <c r="F162" s="169">
        <f t="shared" ref="F162" si="100">(100*(B162/B150-1))</f>
        <v>1.1705516565872598</v>
      </c>
      <c r="G162" s="170">
        <f t="shared" ref="G162" si="101">100*(B162/B138-1)</f>
        <v>5.030394835501717</v>
      </c>
      <c r="H162" s="174">
        <f t="shared" si="97"/>
        <v>1.2953218938918714</v>
      </c>
    </row>
    <row r="163" spans="1:8" ht="16.5" customHeight="1">
      <c r="A163" s="163" t="str">
        <f>Rodoar!A163</f>
        <v>SETEMBRO|16</v>
      </c>
      <c r="B163" s="191">
        <f>[209]PNEU!$C$26</f>
        <v>1832.17</v>
      </c>
      <c r="C163" s="165">
        <f t="shared" si="93"/>
        <v>162.41202021097422</v>
      </c>
      <c r="D163" s="166">
        <f t="shared" ref="D163" si="102">100*(B163/B162-1)</f>
        <v>1.7098097559079983</v>
      </c>
      <c r="E163" s="166">
        <f t="shared" ref="E163" si="103">100*(B163/B$154-1)</f>
        <v>6.3665380556003903</v>
      </c>
      <c r="F163" s="169">
        <f t="shared" ref="F163" si="104">(100*(B163/B151-1))</f>
        <v>4.2037061682642651</v>
      </c>
      <c r="G163" s="170">
        <f t="shared" ref="G163" si="105">100*(B163/B139-1)</f>
        <v>6.826214773067818</v>
      </c>
      <c r="H163" s="174">
        <f t="shared" si="97"/>
        <v>1.2735466687043233</v>
      </c>
    </row>
    <row r="164" spans="1:8" ht="16.5" customHeight="1">
      <c r="A164" s="163" t="str">
        <f>Rodoar!A164</f>
        <v>OUTUBRO|16</v>
      </c>
      <c r="B164" s="191">
        <f>[210]PNEU!$C$26</f>
        <v>1816.2060000000001</v>
      </c>
      <c r="C164" s="165">
        <f t="shared" si="93"/>
        <v>160.99689743817041</v>
      </c>
      <c r="D164" s="166">
        <f t="shared" ref="D164" si="106">100*(B164/B163-1)</f>
        <v>-0.87131652630486611</v>
      </c>
      <c r="E164" s="166">
        <f t="shared" ref="E164" si="107">100*(B164/B$154-1)</f>
        <v>5.4397488310635955</v>
      </c>
      <c r="F164" s="169">
        <f t="shared" ref="F164" si="108">(100*(B164/B152-1))</f>
        <v>7.2020257468170756</v>
      </c>
      <c r="G164" s="170">
        <f t="shared" ref="G164" si="109">100*(B164/B140-1)</f>
        <v>6.3916808330414021</v>
      </c>
      <c r="H164" s="174">
        <f t="shared" si="97"/>
        <v>1.2847408278576329</v>
      </c>
    </row>
    <row r="165" spans="1:8" ht="16.5" customHeight="1">
      <c r="A165" s="163" t="str">
        <f>Rodoar!A165</f>
        <v>NOVEMBRO|16</v>
      </c>
      <c r="B165" s="191">
        <f>[211]PNEU!$C$26</f>
        <v>1838.7279999999998</v>
      </c>
      <c r="C165" s="165">
        <f t="shared" ref="C165" si="110">100*B165/B$8</f>
        <v>162.99335165322225</v>
      </c>
      <c r="D165" s="166">
        <f t="shared" ref="D165" si="111">100*(B165/B164-1)</f>
        <v>1.2400575705619143</v>
      </c>
      <c r="E165" s="166">
        <f t="shared" ref="E165" si="112">100*(B165/B$154-1)</f>
        <v>6.7472624188246622</v>
      </c>
      <c r="F165" s="169">
        <f t="shared" ref="F165" si="113">(100*(B165/B153-1))</f>
        <v>6.5109295568397174</v>
      </c>
      <c r="G165" s="170">
        <f t="shared" ref="G165" si="114">100*(B165/B141-1)</f>
        <v>10.284021865737071</v>
      </c>
      <c r="H165" s="174">
        <f t="shared" si="97"/>
        <v>1.2690044422013482</v>
      </c>
    </row>
    <row r="166" spans="1:8" ht="16.5" customHeight="1">
      <c r="A166" s="163" t="str">
        <f>Rodoar!A166</f>
        <v>DEZEMBRO|16</v>
      </c>
      <c r="B166" s="191">
        <f>[212]PNEU!$C$26</f>
        <v>1842.502</v>
      </c>
      <c r="C166" s="165">
        <f t="shared" ref="C166" si="115">100*B166/B$8</f>
        <v>163.32789646307953</v>
      </c>
      <c r="D166" s="166">
        <f t="shared" ref="D166" si="116">100*(B166/B165-1)</f>
        <v>0.20525058627487436</v>
      </c>
      <c r="E166" s="166">
        <f t="shared" ref="E166" si="117">100*(B166/B$154-1)</f>
        <v>6.966361800771681</v>
      </c>
      <c r="F166" s="169">
        <f t="shared" ref="F166" si="118">(100*(B166/B154-1))</f>
        <v>6.966361800771681</v>
      </c>
      <c r="G166" s="170">
        <f t="shared" ref="G166" si="119">100*(B166/B142-1)</f>
        <v>10.510380467184</v>
      </c>
      <c r="H166" s="174">
        <f t="shared" si="97"/>
        <v>1.266405138230515</v>
      </c>
    </row>
    <row r="167" spans="1:8" ht="16.5" customHeight="1">
      <c r="A167" s="163" t="str">
        <f>Rodoar!A167</f>
        <v>JANEIRO|17</v>
      </c>
      <c r="B167" s="191">
        <f>[213]PNEU!$C$26</f>
        <v>1852.0739999999998</v>
      </c>
      <c r="C167" s="165">
        <f t="shared" ref="C167" si="120">100*B167/B$8</f>
        <v>164.17640280117013</v>
      </c>
      <c r="D167" s="166">
        <f t="shared" ref="D167" si="121">100*(B167/B166-1)</f>
        <v>0.5195109693232336</v>
      </c>
      <c r="E167" s="166">
        <f t="shared" ref="E167:E172" si="122">100*(B167/B$166-1)</f>
        <v>0.5195109693232336</v>
      </c>
      <c r="F167" s="169">
        <f t="shared" ref="F167" si="123">(100*(B167/B155-1))</f>
        <v>6.2228503063248342</v>
      </c>
      <c r="G167" s="170">
        <f t="shared" ref="G167" si="124">100*(B167/B143-1)</f>
        <v>11.51133974437708</v>
      </c>
      <c r="H167" s="174">
        <f t="shared" si="97"/>
        <v>1.2598600271911384</v>
      </c>
    </row>
    <row r="168" spans="1:8" ht="16.5" customHeight="1">
      <c r="A168" s="163" t="str">
        <f>Rodoar!A168</f>
        <v>FEVEREIRO|17</v>
      </c>
      <c r="B168" s="191">
        <f>[214]PNEU!$C$26</f>
        <v>1834.172</v>
      </c>
      <c r="C168" s="165">
        <f t="shared" ref="C168" si="125">100*B168/B$8</f>
        <v>162.58948674762877</v>
      </c>
      <c r="D168" s="166">
        <f t="shared" ref="D168" si="126">100*(B168/B167-1)</f>
        <v>-0.96659204761795348</v>
      </c>
      <c r="E168" s="166">
        <f t="shared" si="122"/>
        <v>-0.45210263001070894</v>
      </c>
      <c r="F168" s="169">
        <f t="shared" ref="F168" si="127">(100*(B168/B156-1))</f>
        <v>6.0458995768968737</v>
      </c>
      <c r="G168" s="170">
        <f t="shared" ref="G168" si="128">100*(B168/B144-1)</f>
        <v>7.4876846135904618</v>
      </c>
      <c r="H168" s="174">
        <f t="shared" si="97"/>
        <v>1.2721565916391704</v>
      </c>
    </row>
    <row r="169" spans="1:8" ht="16.5" customHeight="1">
      <c r="A169" s="163" t="str">
        <f>Rodoar!A169</f>
        <v>MARÇO|17</v>
      </c>
      <c r="B169" s="191">
        <f>[215]PNEU!$C$26</f>
        <v>1908.3720000000001</v>
      </c>
      <c r="C169" s="165">
        <f t="shared" ref="C169" si="129">100*B169/B$8</f>
        <v>169.16691782643386</v>
      </c>
      <c r="D169" s="166">
        <f t="shared" ref="D169" si="130">100*(B169/B168-1)</f>
        <v>4.0454221305308291</v>
      </c>
      <c r="E169" s="166">
        <f t="shared" si="122"/>
        <v>3.5750300406729663</v>
      </c>
      <c r="F169" s="169">
        <f t="shared" ref="F169" si="131">(100*(B169/B157-1))</f>
        <v>8.0860713953978536</v>
      </c>
      <c r="G169" s="170">
        <f t="shared" ref="G169" si="132">100*(B169/B145-1)</f>
        <v>9.8916614937054845</v>
      </c>
      <c r="H169" s="174">
        <f t="shared" si="97"/>
        <v>1.2226934790491581</v>
      </c>
    </row>
    <row r="170" spans="1:8" ht="16.5" customHeight="1">
      <c r="A170" s="163" t="str">
        <f>Rodoar!A170</f>
        <v>ABRIL|17</v>
      </c>
      <c r="B170" s="191">
        <f>[216]PNEU!$C$26</f>
        <v>1925.8260000000002</v>
      </c>
      <c r="C170" s="165">
        <f t="shared" ref="C170" si="133">100*B170/B$8</f>
        <v>170.71412108855603</v>
      </c>
      <c r="D170" s="166">
        <f t="shared" ref="D170" si="134">100*(B170/B169-1)</f>
        <v>0.91460155567153478</v>
      </c>
      <c r="E170" s="166">
        <f t="shared" si="122"/>
        <v>4.5223288767122227</v>
      </c>
      <c r="F170" s="169">
        <f t="shared" ref="F170" si="135">(100*(B170/B158-1))</f>
        <v>8.848621182747717</v>
      </c>
      <c r="G170" s="170">
        <f t="shared" ref="G170" si="136">100*(B170/B146-1)</f>
        <v>12.68229148381932</v>
      </c>
      <c r="H170" s="174">
        <f t="shared" si="97"/>
        <v>1.2116120563332304</v>
      </c>
    </row>
    <row r="171" spans="1:8" ht="16.5" customHeight="1">
      <c r="A171" s="163" t="str">
        <f>Rodoar!A171</f>
        <v>MAIO|17</v>
      </c>
      <c r="B171" s="191">
        <f>[217]PNEU!$C$26</f>
        <v>1922.0920000000001</v>
      </c>
      <c r="C171" s="165">
        <f t="shared" ref="C171" si="137">100*B171/B$8</f>
        <v>170.38312206364685</v>
      </c>
      <c r="D171" s="166">
        <f t="shared" ref="D171" si="138">100*(B171/B170-1)</f>
        <v>-0.19389082918187528</v>
      </c>
      <c r="E171" s="166">
        <f t="shared" si="122"/>
        <v>4.3196696665729561</v>
      </c>
      <c r="F171" s="169">
        <f t="shared" ref="F171" si="139">(100*(B171/B159-1))</f>
        <v>8.6375736885834442</v>
      </c>
      <c r="G171" s="170">
        <f t="shared" ref="G171" si="140">100*(B171/B147-1)</f>
        <v>12.463810854520219</v>
      </c>
      <c r="H171" s="174">
        <f t="shared" si="97"/>
        <v>1.2139658247367973</v>
      </c>
    </row>
    <row r="172" spans="1:8" ht="16.5" customHeight="1">
      <c r="A172" s="163" t="str">
        <f>Rodoar!A172</f>
        <v>JUNHO|17</v>
      </c>
      <c r="B172" s="191">
        <f>[218]PNEU!$C$26</f>
        <v>1926.9639999999999</v>
      </c>
      <c r="C172" s="165">
        <f t="shared" ref="C172" si="141">100*B172/B$8</f>
        <v>170.81499867033065</v>
      </c>
      <c r="D172" s="166">
        <f t="shared" ref="D172" si="142">100*(B172/B171-1)</f>
        <v>0.25347381915121758</v>
      </c>
      <c r="E172" s="166">
        <f t="shared" si="122"/>
        <v>4.5840927174027435</v>
      </c>
      <c r="F172" s="169">
        <f t="shared" ref="F172" si="143">(100*(B172/B160-1))</f>
        <v>6.7739265058064602</v>
      </c>
      <c r="G172" s="170">
        <f t="shared" ref="G172" si="144">100*(B172/B148-1)</f>
        <v>11.862265778563131</v>
      </c>
      <c r="H172" s="174">
        <f t="shared" si="97"/>
        <v>1.2108965190839063</v>
      </c>
    </row>
    <row r="173" spans="1:8" ht="16.5" customHeight="1">
      <c r="A173" s="163" t="str">
        <f>Rodoar!A173</f>
        <v>JULHO|17</v>
      </c>
      <c r="B173" s="191">
        <f>[219]PNEU!$C$26</f>
        <v>1926.9639999999999</v>
      </c>
      <c r="C173" s="165">
        <f t="shared" ref="C173" si="145">100*B173/B$8</f>
        <v>170.81499867033065</v>
      </c>
      <c r="D173" s="166">
        <f t="shared" ref="D173" si="146">100*(B173/B172-1)</f>
        <v>0</v>
      </c>
      <c r="E173" s="166">
        <f t="shared" ref="E173" si="147">100*(B173/B$166-1)</f>
        <v>4.5840927174027435</v>
      </c>
      <c r="F173" s="169">
        <f t="shared" ref="F173" si="148">(100*(B173/B161-1))</f>
        <v>7.4101572777175884</v>
      </c>
      <c r="G173" s="170">
        <f t="shared" ref="G173" si="149">100*(B173/B149-1)</f>
        <v>8.1680469998102634</v>
      </c>
      <c r="H173" s="174">
        <f t="shared" si="97"/>
        <v>1.2108965190839063</v>
      </c>
    </row>
    <row r="174" spans="1:8" ht="16.5" customHeight="1">
      <c r="A174" s="163" t="str">
        <f>Rodoar!A174</f>
        <v>AGOSTO|17</v>
      </c>
      <c r="B174" s="191">
        <f>[220]PNEU!$C$26</f>
        <v>1924.5840000000001</v>
      </c>
      <c r="C174" s="165">
        <f t="shared" ref="C174" si="150">100*B174/B$8</f>
        <v>170.60402446591615</v>
      </c>
      <c r="D174" s="166">
        <f t="shared" ref="D174" si="151">100*(B174/B173-1)</f>
        <v>-0.12351035099772423</v>
      </c>
      <c r="E174" s="166">
        <f t="shared" ref="E174" si="152">100*(B174/B$166-1)</f>
        <v>4.454920537399687</v>
      </c>
      <c r="F174" s="169">
        <f t="shared" ref="F174" si="153">(100*(B174/B162-1))</f>
        <v>6.8400162098847028</v>
      </c>
      <c r="G174" s="170">
        <f t="shared" ref="G174" si="154">100*(B174/B150-1)</f>
        <v>8.0906337895275904</v>
      </c>
      <c r="H174" s="174">
        <f t="shared" si="97"/>
        <v>1.2123939511083954</v>
      </c>
    </row>
    <row r="175" spans="1:8" ht="16.5" customHeight="1">
      <c r="A175" s="163" t="str">
        <f>Rodoar!A175</f>
        <v>SETEMBRO|17</v>
      </c>
      <c r="B175" s="191">
        <f>[221]PNEU!$C$26</f>
        <v>1924.5840000000001</v>
      </c>
      <c r="C175" s="165">
        <f t="shared" ref="C175" si="155">100*B175/B$8</f>
        <v>170.60402446591615</v>
      </c>
      <c r="D175" s="166">
        <f t="shared" ref="D175" si="156">100*(B175/B174-1)</f>
        <v>0</v>
      </c>
      <c r="E175" s="166">
        <f t="shared" ref="E175" si="157">100*(B175/B$166-1)</f>
        <v>4.454920537399687</v>
      </c>
      <c r="F175" s="169">
        <f t="shared" ref="F175" si="158">(100*(B175/B163-1))</f>
        <v>5.0439642609583224</v>
      </c>
      <c r="G175" s="170">
        <f t="shared" ref="G175" si="159">100*(B175/B151-1)</f>
        <v>9.459703865985535</v>
      </c>
      <c r="H175" s="174">
        <f t="shared" si="97"/>
        <v>1.2123939511083954</v>
      </c>
    </row>
    <row r="176" spans="1:8" ht="16.5" customHeight="1">
      <c r="A176" s="163" t="str">
        <f>Rodoar!A176</f>
        <v>OUTUBRO|17</v>
      </c>
      <c r="B176" s="191">
        <f>[222]PNEU!$C$26</f>
        <v>2094.52</v>
      </c>
      <c r="C176" s="165">
        <f t="shared" ref="C176" si="160">100*B176/B$8</f>
        <v>185.66793723960643</v>
      </c>
      <c r="D176" s="166">
        <f t="shared" ref="D176" si="161">100*(B176/B175-1)</f>
        <v>8.8297522997177644</v>
      </c>
      <c r="E176" s="166">
        <f t="shared" ref="E176" si="162">100*(B176/B$166-1)</f>
        <v>13.678031285719094</v>
      </c>
      <c r="F176" s="169">
        <f t="shared" ref="F176" si="163">(100*(B176/B164-1))</f>
        <v>15.323922506587895</v>
      </c>
      <c r="G176" s="170">
        <f t="shared" ref="G176" si="164">100*(B176/B152-1)</f>
        <v>23.629581097751728</v>
      </c>
      <c r="H176" s="174">
        <f t="shared" si="97"/>
        <v>1.1140280350629264</v>
      </c>
    </row>
    <row r="177" spans="1:8" ht="16.5" customHeight="1">
      <c r="A177" s="163" t="str">
        <f>Rodoar!A177</f>
        <v>NOVEMBRO|17</v>
      </c>
      <c r="B177" s="191">
        <f>[223]PNEU!$C$26</f>
        <v>2099.8759999999997</v>
      </c>
      <c r="C177" s="165">
        <f t="shared" ref="C177" si="165">100*B177/B$8</f>
        <v>186.14271784416275</v>
      </c>
      <c r="D177" s="166">
        <f t="shared" ref="D177" si="166">100*(B177/B176-1)</f>
        <v>0.2557149132020653</v>
      </c>
      <c r="E177" s="166">
        <f t="shared" ref="E177" si="167">100*(B177/B$166-1)</f>
        <v>13.96872296475118</v>
      </c>
      <c r="F177" s="169">
        <f t="shared" ref="F177" si="168">(100*(B177/B165-1))</f>
        <v>14.202644436806299</v>
      </c>
      <c r="G177" s="170">
        <f t="shared" ref="G177" si="169">100*(B177/B153-1)</f>
        <v>21.638298168134895</v>
      </c>
      <c r="H177" s="174">
        <f t="shared" si="97"/>
        <v>1.1111865653019515</v>
      </c>
    </row>
    <row r="178" spans="1:8" ht="16.5" customHeight="1">
      <c r="A178" s="163" t="str">
        <f>Rodoar!A178</f>
        <v>DEZEMBRO|17</v>
      </c>
      <c r="B178" s="191">
        <f>[224]PNEU!$C$26</f>
        <v>2102.6320000000005</v>
      </c>
      <c r="C178" s="165">
        <f t="shared" ref="C178" si="170">100*B178/B$8</f>
        <v>186.38702242708985</v>
      </c>
      <c r="D178" s="166">
        <f t="shared" ref="D178" si="171">100*(B178/B177-1)</f>
        <v>0.1312458449927778</v>
      </c>
      <c r="E178" s="166">
        <f t="shared" ref="E178" si="172">100*(B178/B$166-1)</f>
        <v>14.118302178233755</v>
      </c>
      <c r="F178" s="169">
        <f t="shared" ref="F178" si="173">(100*(B178/B166-1))</f>
        <v>14.118302178233755</v>
      </c>
      <c r="G178" s="170">
        <f t="shared" ref="G178" si="174">100*(B178/B154-1)</f>
        <v>22.068195988867423</v>
      </c>
      <c r="H178" s="174">
        <f t="shared" si="97"/>
        <v>1.1097300906673158</v>
      </c>
    </row>
    <row r="179" spans="1:8" ht="16.5" customHeight="1">
      <c r="A179" s="163" t="str">
        <f>Rodoar!A179</f>
        <v>JANEIRO|18</v>
      </c>
      <c r="B179" s="191">
        <f>[225]PNEU!$C$26</f>
        <v>2094.5740000000001</v>
      </c>
      <c r="C179" s="165">
        <f t="shared" ref="C179" si="175">100*B179/B$8</f>
        <v>185.67272404928642</v>
      </c>
      <c r="D179" s="166">
        <f t="shared" ref="D179" si="176">100*(B179/B178-1)</f>
        <v>-0.38323396581049218</v>
      </c>
      <c r="E179" s="166">
        <f t="shared" ref="E179:E184" si="177">100*(B179/B$178-1)</f>
        <v>-0.38323396581049218</v>
      </c>
      <c r="F179" s="169">
        <f t="shared" ref="F179" si="178">(100*(B179/B167-1))</f>
        <v>13.09342931221973</v>
      </c>
      <c r="G179" s="170">
        <f t="shared" ref="G179" si="179">100*(B179/B155-1)</f>
        <v>20.131064124608432</v>
      </c>
      <c r="H179" s="174">
        <f t="shared" si="97"/>
        <v>1.1139993144190656</v>
      </c>
    </row>
    <row r="180" spans="1:8" ht="16.5" customHeight="1">
      <c r="A180" s="163" t="str">
        <f>Rodoar!A180</f>
        <v>FEVEREIRO|18</v>
      </c>
      <c r="B180" s="191">
        <f>[226]PNEU!$C$26</f>
        <v>2088.384</v>
      </c>
      <c r="C180" s="165">
        <f t="shared" ref="C180" si="180">100*B180/B$8</f>
        <v>185.12401382856132</v>
      </c>
      <c r="D180" s="166">
        <f t="shared" ref="D180" si="181">100*(B180/B179-1)</f>
        <v>-0.29552548632800768</v>
      </c>
      <c r="E180" s="166">
        <f t="shared" si="177"/>
        <v>-0.67762689809726107</v>
      </c>
      <c r="F180" s="169">
        <f t="shared" ref="F180" si="182">(100*(B180/B168-1))</f>
        <v>13.859768876637514</v>
      </c>
      <c r="G180" s="170">
        <f t="shared" ref="G180" si="183">100*(B180/B156-1)</f>
        <v>20.743616161405921</v>
      </c>
      <c r="H180" s="174">
        <f t="shared" si="97"/>
        <v>1.1173012242959151</v>
      </c>
    </row>
    <row r="181" spans="1:8" ht="16.5" customHeight="1">
      <c r="A181" s="163" t="str">
        <f>Rodoar!A181</f>
        <v>MARÇO|18</v>
      </c>
      <c r="B181" s="191">
        <f>[227]PNEU!$C$26</f>
        <v>2084.7840000000001</v>
      </c>
      <c r="C181" s="165">
        <f t="shared" ref="C181" si="184">100*B181/B$8</f>
        <v>184.80489318322847</v>
      </c>
      <c r="D181" s="166">
        <f t="shared" ref="D181" si="185">100*(B181/B180-1)</f>
        <v>-0.17238209064999177</v>
      </c>
      <c r="E181" s="166">
        <f t="shared" si="177"/>
        <v>-0.84884088133351243</v>
      </c>
      <c r="F181" s="169">
        <f t="shared" ref="F181" si="186">(100*(B181/B169-1))</f>
        <v>9.2441096390011968</v>
      </c>
      <c r="G181" s="170">
        <f t="shared" ref="G181" si="187">100*(B181/B157-1)</f>
        <v>18.077666339677556</v>
      </c>
      <c r="H181" s="174">
        <f t="shared" si="97"/>
        <v>1.1192305773643698</v>
      </c>
    </row>
    <row r="182" spans="1:8" ht="16.5" customHeight="1">
      <c r="A182" s="163" t="str">
        <f>Rodoar!A182</f>
        <v>ABRIL|18</v>
      </c>
      <c r="B182" s="191">
        <f>[228]PNEU!$C$26</f>
        <v>2078.9520000000002</v>
      </c>
      <c r="C182" s="165">
        <f t="shared" ref="C182" si="188">100*B182/B$8</f>
        <v>184.28791773778923</v>
      </c>
      <c r="D182" s="166">
        <f t="shared" ref="D182" si="189">100*(B182/B181-1)</f>
        <v>-0.27974121060022616</v>
      </c>
      <c r="E182" s="166">
        <f t="shared" si="177"/>
        <v>-1.1262075341762268</v>
      </c>
      <c r="F182" s="169">
        <f t="shared" ref="F182" si="190">(100*(B182/B170-1))</f>
        <v>7.9511856211308851</v>
      </c>
      <c r="G182" s="170">
        <f t="shared" ref="G182" si="191">100*(B182/B158-1)</f>
        <v>17.503377099029581</v>
      </c>
      <c r="H182" s="174">
        <f t="shared" si="97"/>
        <v>1.1223703096560189</v>
      </c>
    </row>
    <row r="183" spans="1:8" ht="16.5" customHeight="1">
      <c r="A183" s="163" t="str">
        <f>Rodoar!A183</f>
        <v>MAIO|18</v>
      </c>
      <c r="B183" s="191">
        <f>[229]PNEU!$C$26</f>
        <v>2087.0780000000004</v>
      </c>
      <c r="C183" s="165">
        <f t="shared" ref="C183" si="192">100*B183/B$8</f>
        <v>185.0082439500045</v>
      </c>
      <c r="D183" s="166">
        <f t="shared" ref="D183" si="193">100*(B183/B182-1)</f>
        <v>0.39087001527693399</v>
      </c>
      <c r="E183" s="166">
        <f t="shared" si="177"/>
        <v>-0.73973952646017027</v>
      </c>
      <c r="F183" s="169">
        <f t="shared" ref="F183" si="194">(100*(B183/B171-1))</f>
        <v>8.5836682115112204</v>
      </c>
      <c r="G183" s="170">
        <f t="shared" ref="G183" si="195">100*(B183/B159-1)</f>
        <v>17.96266256704746</v>
      </c>
      <c r="H183" s="174">
        <f t="shared" si="97"/>
        <v>1.1180003813944663</v>
      </c>
    </row>
    <row r="184" spans="1:8" ht="16.5" customHeight="1">
      <c r="A184" s="163" t="str">
        <f>Rodoar!A184</f>
        <v>JUNHO|18</v>
      </c>
      <c r="B184" s="191">
        <f>[230]PNEU!$C$26</f>
        <v>2111.0439999999999</v>
      </c>
      <c r="C184" s="165">
        <f t="shared" ref="C184" si="196">100*B184/B$8</f>
        <v>187.13270100168427</v>
      </c>
      <c r="D184" s="166">
        <f t="shared" ref="D184" si="197">100*(B184/B183-1)</f>
        <v>1.1483039924717442</v>
      </c>
      <c r="E184" s="166">
        <f t="shared" si="177"/>
        <v>0.4000700074953345</v>
      </c>
      <c r="F184" s="169">
        <f t="shared" ref="F184" si="198">(100*(B184/B172-1))</f>
        <v>9.5528510133038314</v>
      </c>
      <c r="G184" s="170">
        <f t="shared" ref="G184" si="199">100*(B184/B160-1)</f>
        <v>16.973880625960682</v>
      </c>
      <c r="H184" s="174">
        <f t="shared" si="97"/>
        <v>1.1053080845306873</v>
      </c>
    </row>
    <row r="185" spans="1:8" ht="16.5" customHeight="1">
      <c r="A185" s="163" t="str">
        <f>Rodoar!A185</f>
        <v>JULHO|18</v>
      </c>
      <c r="B185" s="191">
        <f>[231]PNEU!$C$26</f>
        <v>2138.002</v>
      </c>
      <c r="C185" s="165">
        <f t="shared" ref="C185" si="200">100*B185/B$8</f>
        <v>189.52238276748514</v>
      </c>
      <c r="D185" s="166">
        <f t="shared" ref="D185" si="201">100*(B185/B184-1)</f>
        <v>1.2769984898467257</v>
      </c>
      <c r="E185" s="166">
        <f t="shared" ref="E185" si="202">100*(B185/B$178-1)</f>
        <v>1.6821773852961242</v>
      </c>
      <c r="F185" s="169">
        <f t="shared" ref="F185" si="203">(100*(B185/B173-1))</f>
        <v>10.951839266327767</v>
      </c>
      <c r="G185" s="170">
        <f t="shared" ref="G185" si="204">100*(B185/B161-1)</f>
        <v>19.173545058483054</v>
      </c>
      <c r="H185" s="174">
        <f t="shared" si="97"/>
        <v>1.0913712896433214</v>
      </c>
    </row>
    <row r="186" spans="1:8" ht="16.5" customHeight="1">
      <c r="A186" s="163" t="str">
        <f>Rodoar!A186</f>
        <v>AGOSTO|18</v>
      </c>
      <c r="B186" s="191">
        <f>[232]PNEU!$C$26</f>
        <v>2138.002</v>
      </c>
      <c r="C186" s="165">
        <f t="shared" ref="C186" si="205">100*B186/B$8</f>
        <v>189.52238276748514</v>
      </c>
      <c r="D186" s="166">
        <f t="shared" ref="D186" si="206">100*(B186/B185-1)</f>
        <v>0</v>
      </c>
      <c r="E186" s="166">
        <f t="shared" ref="E186" si="207">100*(B186/B$178-1)</f>
        <v>1.6821773852961242</v>
      </c>
      <c r="F186" s="169">
        <f t="shared" ref="F186" si="208">(100*(B186/B174-1))</f>
        <v>11.089045736637114</v>
      </c>
      <c r="G186" s="170">
        <f t="shared" ref="G186" si="209">100*(B186/B162-1)</f>
        <v>18.687554472429312</v>
      </c>
      <c r="H186" s="174">
        <f t="shared" si="97"/>
        <v>1.0913712896433214</v>
      </c>
    </row>
    <row r="187" spans="1:8" ht="16.5" customHeight="1">
      <c r="A187" s="163" t="str">
        <f>Rodoar!A187</f>
        <v>SETEMBRO|18</v>
      </c>
      <c r="B187" s="191">
        <f>[233]PNEU!$C$26</f>
        <v>2138.002</v>
      </c>
      <c r="C187" s="165">
        <f t="shared" ref="C187" si="210">100*B187/B$8</f>
        <v>189.52238276748514</v>
      </c>
      <c r="D187" s="166">
        <f t="shared" ref="D187" si="211">100*(B187/B186-1)</f>
        <v>0</v>
      </c>
      <c r="E187" s="166">
        <f t="shared" ref="E187" si="212">100*(B187/B$178-1)</f>
        <v>1.6821773852961242</v>
      </c>
      <c r="F187" s="169">
        <f t="shared" ref="F187" si="213">(100*(B187/B175-1))</f>
        <v>11.089045736637114</v>
      </c>
      <c r="G187" s="170">
        <f t="shared" ref="G187" si="214">100*(B187/B163-1)</f>
        <v>16.692337501432732</v>
      </c>
      <c r="H187" s="174">
        <f t="shared" si="97"/>
        <v>1.0913712896433214</v>
      </c>
    </row>
    <row r="188" spans="1:8" ht="16.5" customHeight="1">
      <c r="A188" s="163" t="str">
        <f>Rodoar!A188</f>
        <v>OUTUBRO|18</v>
      </c>
      <c r="B188" s="191">
        <f>[234]PNEU!$C$26</f>
        <v>2159.5920000000001</v>
      </c>
      <c r="C188" s="165">
        <f t="shared" ref="C188" si="215">100*B188/B$8</f>
        <v>191.4362201932453</v>
      </c>
      <c r="D188" s="166">
        <f t="shared" ref="D188" si="216">100*(B188/B187-1)</f>
        <v>1.0098213191568561</v>
      </c>
      <c r="E188" s="166">
        <f t="shared" ref="E188" si="217">100*(B188/B$178-1)</f>
        <v>2.7089856903157461</v>
      </c>
      <c r="F188" s="169">
        <f t="shared" ref="F188" si="218">(100*(B188/B176-1))</f>
        <v>3.1067738670435219</v>
      </c>
      <c r="G188" s="170">
        <f t="shared" ref="G188" si="219">100*(B188/B164-1)</f>
        <v>18.906775993472102</v>
      </c>
      <c r="H188" s="174">
        <f t="shared" si="97"/>
        <v>1.0804605684777495</v>
      </c>
    </row>
    <row r="189" spans="1:8" ht="16.5" customHeight="1">
      <c r="A189" s="163" t="str">
        <f>Rodoar!A189</f>
        <v>NOVEMBRO|18</v>
      </c>
      <c r="B189" s="191">
        <f>[235]PNEU!$C$26</f>
        <v>2141.1040000000003</v>
      </c>
      <c r="C189" s="165">
        <f t="shared" ref="C189" si="220">100*B189/B$8</f>
        <v>189.79735839021367</v>
      </c>
      <c r="D189" s="166">
        <f t="shared" ref="D189" si="221">100*(B189/B188-1)</f>
        <v>-0.85608763136739707</v>
      </c>
      <c r="E189" s="166">
        <f t="shared" ref="E189" si="222">100*(B189/B$178-1)</f>
        <v>1.8297067675180356</v>
      </c>
      <c r="F189" s="169">
        <f t="shared" ref="F189" si="223">(100*(B189/B177-1))</f>
        <v>1.9633540266187355</v>
      </c>
      <c r="G189" s="170">
        <f t="shared" ref="G189" si="224">100*(B189/B165-1)</f>
        <v>16.444846654861433</v>
      </c>
      <c r="H189" s="174">
        <f t="shared" si="97"/>
        <v>1.089790126962539</v>
      </c>
    </row>
    <row r="190" spans="1:8" ht="16.5" customHeight="1">
      <c r="A190" s="163" t="str">
        <f>Rodoar!A190</f>
        <v>DEZEMBRO|18</v>
      </c>
      <c r="B190" s="191">
        <f>[236]PNEU!$C$26</f>
        <v>2074.7439999999997</v>
      </c>
      <c r="C190" s="165">
        <f t="shared" ref="C190" si="225">100*B190/B$8</f>
        <v>183.91490116124456</v>
      </c>
      <c r="D190" s="166">
        <f t="shared" ref="D190" si="226">100*(B190/B189-1)</f>
        <v>-3.0993356698227004</v>
      </c>
      <c r="E190" s="166">
        <f t="shared" ref="E190" si="227">100*(B190/B$178-1)</f>
        <v>-1.3263376568035112</v>
      </c>
      <c r="F190" s="169">
        <f t="shared" ref="F190" si="228">(100*(B190/B178-1))</f>
        <v>-1.3263376568035112</v>
      </c>
      <c r="G190" s="170">
        <f t="shared" ref="G190" si="229">100*(B190/B166-1)</f>
        <v>12.604708163139012</v>
      </c>
      <c r="H190" s="174">
        <f t="shared" si="97"/>
        <v>1.1246467034005163</v>
      </c>
    </row>
    <row r="191" spans="1:8" ht="16.5" customHeight="1">
      <c r="A191" s="163" t="str">
        <f>Rodoar!A191</f>
        <v>JANEIRO|19</v>
      </c>
      <c r="B191" s="191">
        <f>[237]PNEU!$C$26</f>
        <v>2130.694</v>
      </c>
      <c r="C191" s="165">
        <f t="shared" ref="C191" si="230">100*B191/B$8</f>
        <v>188.87456785745945</v>
      </c>
      <c r="D191" s="166">
        <f t="shared" ref="D191" si="231">100*(B191/B190-1)</f>
        <v>2.6967182457209304</v>
      </c>
      <c r="E191" s="166">
        <f t="shared" ref="E191:E196" si="232">100*(B191/B$190-1)</f>
        <v>2.6967182457209304</v>
      </c>
      <c r="F191" s="169">
        <f t="shared" ref="F191" si="233">(100*(B191/B179-1))</f>
        <v>1.7244556649705256</v>
      </c>
      <c r="G191" s="170">
        <f t="shared" ref="G191" si="234">100*(B191/B167-1)</f>
        <v>15.043675360703745</v>
      </c>
      <c r="H191" s="174">
        <f t="shared" si="97"/>
        <v>1.0951145495317489</v>
      </c>
    </row>
    <row r="192" spans="1:8" ht="16.5" customHeight="1">
      <c r="A192" s="196" t="str">
        <f>Rodoar!A192</f>
        <v>FEVEREIRO|19</v>
      </c>
      <c r="B192" s="280">
        <f>[238]PNEU!$C$26</f>
        <v>2171.4639999999999</v>
      </c>
      <c r="C192" s="197">
        <f t="shared" ref="C192" si="235">100*B192/B$8</f>
        <v>192.48860916585411</v>
      </c>
      <c r="D192" s="198">
        <f t="shared" ref="D192" si="236">100*(B192/B191-1)</f>
        <v>1.9134610601053037</v>
      </c>
      <c r="E192" s="198">
        <f t="shared" si="232"/>
        <v>4.6617799593588582</v>
      </c>
      <c r="F192" s="199">
        <f t="shared" ref="F192" si="237">(100*(B192/B180-1))</f>
        <v>3.9781955808893432</v>
      </c>
      <c r="G192" s="200">
        <f t="shared" ref="G192" si="238">100*(B192/B168-1)</f>
        <v>18.389333170498734</v>
      </c>
      <c r="H192" s="174">
        <f t="shared" si="97"/>
        <v>1.0745533888657608</v>
      </c>
    </row>
    <row r="193" spans="1:8" ht="16.5" customHeight="1">
      <c r="A193" s="196" t="str">
        <f>Rodoar!A193</f>
        <v>MARÇO|19</v>
      </c>
      <c r="B193" s="280">
        <f>[239]PNEU!$C$26</f>
        <v>2179.4639999999999</v>
      </c>
      <c r="C193" s="197">
        <f t="shared" ref="C193" si="239">100*B193/B$8</f>
        <v>193.19776615548267</v>
      </c>
      <c r="D193" s="198">
        <f t="shared" ref="D193" si="240">100*(B193/B192-1)</f>
        <v>0.36841504164932815</v>
      </c>
      <c r="E193" s="198">
        <f t="shared" si="232"/>
        <v>5.0473696995870565</v>
      </c>
      <c r="F193" s="199">
        <f t="shared" ref="F193" si="241">(100*(B193/B181-1))</f>
        <v>4.5414776782630728</v>
      </c>
      <c r="G193" s="200">
        <f t="shared" ref="G193" si="242">100*(B193/B169-1)</f>
        <v>14.205406493073669</v>
      </c>
      <c r="H193" s="174">
        <f t="shared" si="97"/>
        <v>1.0706091038897638</v>
      </c>
    </row>
    <row r="194" spans="1:8" ht="16.5" customHeight="1">
      <c r="A194" s="196" t="str">
        <f>Rodoar!A194</f>
        <v>ABRIL|19</v>
      </c>
      <c r="B194" s="280">
        <f>[240]PNEU!$C$26</f>
        <v>2171.4639999999999</v>
      </c>
      <c r="C194" s="197">
        <f t="shared" ref="C194" si="243">100*B194/B$8</f>
        <v>192.48860916585411</v>
      </c>
      <c r="D194" s="198">
        <f t="shared" ref="D194" si="244">100*(B194/B193-1)</f>
        <v>-0.36706272734947643</v>
      </c>
      <c r="E194" s="198">
        <f t="shared" si="232"/>
        <v>4.6617799593588582</v>
      </c>
      <c r="F194" s="199">
        <f t="shared" ref="F194" si="245">(100*(B194/B182-1))</f>
        <v>4.449934390019572</v>
      </c>
      <c r="G194" s="200">
        <f t="shared" ref="G194" si="246">100*(B194/B170-1)</f>
        <v>12.754942554519456</v>
      </c>
      <c r="H194" s="174">
        <f t="shared" si="97"/>
        <v>1.0745533888657608</v>
      </c>
    </row>
    <row r="195" spans="1:8" ht="16.5" customHeight="1">
      <c r="A195" s="196" t="str">
        <f>Rodoar!A195</f>
        <v>MAIO|19</v>
      </c>
      <c r="B195" s="280">
        <f>[241]PNEU!$C$26</f>
        <v>2162.8020000000001</v>
      </c>
      <c r="C195" s="197">
        <f t="shared" ref="C195" si="247">100*B195/B$8</f>
        <v>191.72076943533378</v>
      </c>
      <c r="D195" s="198">
        <f t="shared" ref="D195" si="248">100*(B195/B194-1)</f>
        <v>-0.39890138634579575</v>
      </c>
      <c r="E195" s="198">
        <f t="shared" si="232"/>
        <v>4.2442826681267976</v>
      </c>
      <c r="F195" s="199">
        <f t="shared" ref="F195" si="249">(100*(B195/B183-1))</f>
        <v>3.6282304734178483</v>
      </c>
      <c r="G195" s="200">
        <f t="shared" ref="G195" si="250">100*(B195/B171-1)</f>
        <v>12.523333950716209</v>
      </c>
      <c r="H195" s="174">
        <f t="shared" si="97"/>
        <v>1.0788569642528536</v>
      </c>
    </row>
    <row r="196" spans="1:8" ht="16.5" customHeight="1">
      <c r="A196" s="196" t="str">
        <f>Rodoar!A196</f>
        <v>JUNHO|19</v>
      </c>
      <c r="B196" s="280">
        <f>[242]PNEU!$C$26</f>
        <v>2156.7979999999998</v>
      </c>
      <c r="C196" s="197">
        <f t="shared" ref="C196" si="251">100*B196/B$8</f>
        <v>191.18854711461751</v>
      </c>
      <c r="D196" s="198">
        <f t="shared" ref="D196" si="252">100*(B196/B195-1)</f>
        <v>-0.27760285037652377</v>
      </c>
      <c r="E196" s="198">
        <f t="shared" si="232"/>
        <v>3.9548975680855136</v>
      </c>
      <c r="F196" s="199">
        <f t="shared" ref="F196" si="253">(100*(B196/B184-1))</f>
        <v>2.1673636361913884</v>
      </c>
      <c r="G196" s="200">
        <f t="shared" ref="G196" si="254">100*(B196/B172-1)</f>
        <v>11.927259668577083</v>
      </c>
      <c r="H196" s="174">
        <f t="shared" si="97"/>
        <v>1.0818602391137235</v>
      </c>
    </row>
    <row r="197" spans="1:8" ht="16.5" customHeight="1">
      <c r="A197" s="196" t="str">
        <f>Rodoar!A197</f>
        <v>JULHO|19</v>
      </c>
      <c r="B197" s="280">
        <f>[243]PNEU!$C$26</f>
        <v>2156.7979999999998</v>
      </c>
      <c r="C197" s="197">
        <f t="shared" ref="C197" si="255">100*B197/B$8</f>
        <v>191.18854711461751</v>
      </c>
      <c r="D197" s="198">
        <f t="shared" ref="D197" si="256">100*(B197/B196-1)</f>
        <v>0</v>
      </c>
      <c r="E197" s="198">
        <f t="shared" ref="E197" si="257">100*(B197/B$190-1)</f>
        <v>3.9548975680855136</v>
      </c>
      <c r="F197" s="199">
        <f t="shared" ref="F197" si="258">(100*(B197/B185-1))</f>
        <v>0.87913856020713776</v>
      </c>
      <c r="G197" s="200">
        <f t="shared" ref="G197" si="259">100*(B197/B173-1)</f>
        <v>11.927259668577083</v>
      </c>
      <c r="H197" s="174">
        <f t="shared" si="97"/>
        <v>1.0818602391137235</v>
      </c>
    </row>
    <row r="198" spans="1:8" ht="16.5" customHeight="1">
      <c r="A198" s="196" t="str">
        <f>Rodoar!A198</f>
        <v>AGOSTO|19</v>
      </c>
      <c r="B198" s="280">
        <f>[244]PNEU!$C$26</f>
        <v>2112.8139999999999</v>
      </c>
      <c r="C198" s="197">
        <f t="shared" ref="C198" si="260">100*B198/B$8</f>
        <v>187.28960198563959</v>
      </c>
      <c r="D198" s="198">
        <f t="shared" ref="D198" si="261">100*(B198/B197-1)</f>
        <v>-2.0393193984786673</v>
      </c>
      <c r="E198" s="198">
        <f t="shared" ref="E198" si="262">100*(B198/B$190-1)</f>
        <v>1.8349251763109198</v>
      </c>
      <c r="F198" s="199">
        <f t="shared" ref="F198" si="263">(100*(B198/B186-1))</f>
        <v>-1.1781092814693417</v>
      </c>
      <c r="G198" s="200">
        <f t="shared" ref="G198" si="264">100*(B198/B174-1)</f>
        <v>9.7802953781180655</v>
      </c>
      <c r="H198" s="174">
        <f t="shared" si="97"/>
        <v>1.1043821178769169</v>
      </c>
    </row>
    <row r="199" spans="1:8" ht="16.5" customHeight="1">
      <c r="A199" s="196" t="str">
        <f>Rodoar!A199</f>
        <v>SETEMBRO|19</v>
      </c>
      <c r="B199" s="280">
        <f>[245]PNEU!$C$26</f>
        <v>2151.5680000000002</v>
      </c>
      <c r="C199" s="197">
        <f t="shared" ref="C199" si="265">100*B199/B$8</f>
        <v>190.72493573264785</v>
      </c>
      <c r="D199" s="198">
        <f t="shared" ref="D199" si="266">100*(B199/B198-1)</f>
        <v>1.834236236602016</v>
      </c>
      <c r="E199" s="198">
        <f t="shared" ref="E199" si="267">100*(B199/B$190-1)</f>
        <v>3.7028182754113459</v>
      </c>
      <c r="F199" s="199">
        <f t="shared" ref="F199" si="268">(100*(B199/B187-1))</f>
        <v>0.63451764778519326</v>
      </c>
      <c r="G199" s="200">
        <f t="shared" ref="G199" si="269">100*(B199/B175-1)</f>
        <v>11.793925336592226</v>
      </c>
      <c r="H199" s="174">
        <f t="shared" si="97"/>
        <v>1.0844900091468177</v>
      </c>
    </row>
    <row r="200" spans="1:8" ht="16.5" customHeight="1">
      <c r="A200" s="196" t="str">
        <f>Rodoar!A200</f>
        <v>OUTUBRO|19</v>
      </c>
      <c r="B200" s="280">
        <f>[246]PNEU!$C$26</f>
        <v>2187.09</v>
      </c>
      <c r="C200" s="197">
        <f t="shared" ref="C200" si="270">100*B200/B$8</f>
        <v>193.87377005584614</v>
      </c>
      <c r="D200" s="198">
        <f t="shared" ref="D200" si="271">100*(B200/B199-1)</f>
        <v>1.6509819815130111</v>
      </c>
      <c r="E200" s="198">
        <f t="shared" ref="E200" si="272">100*(B200/B$190-1)</f>
        <v>5.4149331194595751</v>
      </c>
      <c r="F200" s="199">
        <f t="shared" ref="F200" si="273">(100*(B200/B188-1))</f>
        <v>1.2732960670348792</v>
      </c>
      <c r="G200" s="200">
        <f t="shared" ref="G200" si="274">100*(B200/B176-1)</f>
        <v>4.419628363539152</v>
      </c>
      <c r="H200" s="174">
        <f t="shared" si="97"/>
        <v>1.0668760773447823</v>
      </c>
    </row>
    <row r="201" spans="1:8" ht="16.5" customHeight="1">
      <c r="A201" s="196" t="str">
        <f>Rodoar!A201</f>
        <v>NOVEMBRO|19</v>
      </c>
      <c r="B201" s="280">
        <f>[247]PNEU!$C$26</f>
        <v>2158.1060000000002</v>
      </c>
      <c r="C201" s="197">
        <f t="shared" ref="C201" si="275">100*B201/B$8</f>
        <v>191.30449428242181</v>
      </c>
      <c r="D201" s="198">
        <f t="shared" ref="D201" si="276">100*(B201/B200-1)</f>
        <v>-1.3252312433416069</v>
      </c>
      <c r="E201" s="198">
        <f t="shared" ref="E201" si="277">100*(B201/B$190-1)</f>
        <v>4.017941490612853</v>
      </c>
      <c r="F201" s="199">
        <f t="shared" ref="F201" si="278">(100*(B201/B189-1))</f>
        <v>0.79407632697898745</v>
      </c>
      <c r="G201" s="200">
        <f t="shared" ref="G201" si="279">100*(B201/B177-1)</f>
        <v>2.7730208831378889</v>
      </c>
      <c r="H201" s="174">
        <f t="shared" si="97"/>
        <v>1.0812045376825792</v>
      </c>
    </row>
    <row r="202" spans="1:8" ht="16.5" customHeight="1">
      <c r="A202" s="196" t="str">
        <f>Rodoar!A202</f>
        <v>DEZEMBRO|19</v>
      </c>
      <c r="B202" s="280">
        <f>[248]PNEU!$C$26</f>
        <v>2158.1060000000002</v>
      </c>
      <c r="C202" s="197">
        <f t="shared" ref="C202" si="280">100*B202/B$8</f>
        <v>191.30449428242181</v>
      </c>
      <c r="D202" s="198">
        <f t="shared" ref="D202" si="281">100*(B202/B201-1)</f>
        <v>0</v>
      </c>
      <c r="E202" s="198">
        <f t="shared" ref="E202" si="282">100*(B202/B$190-1)</f>
        <v>4.017941490612853</v>
      </c>
      <c r="F202" s="199">
        <f t="shared" ref="F202" si="283">(100*(B202/B190-1))</f>
        <v>4.017941490612853</v>
      </c>
      <c r="G202" s="200">
        <f t="shared" ref="G202" si="284">100*(B202/B178-1)</f>
        <v>2.6383123627909955</v>
      </c>
      <c r="H202" s="174">
        <f t="shared" si="97"/>
        <v>1.0812045376825792</v>
      </c>
    </row>
    <row r="203" spans="1:8" ht="16.5" customHeight="1">
      <c r="A203" s="196" t="str">
        <f>Rodoar!A203</f>
        <v>JANEIRO|20</v>
      </c>
      <c r="B203" s="280">
        <f>[249]PNEU!$C$26</f>
        <v>2169.8740000000003</v>
      </c>
      <c r="C203" s="197">
        <f t="shared" ref="C203" si="285">100*B203/B$8</f>
        <v>192.34766421416543</v>
      </c>
      <c r="D203" s="198">
        <f t="shared" ref="D203" si="286">100*(B203/B202-1)</f>
        <v>0.54529295595304728</v>
      </c>
      <c r="E203" s="198">
        <f t="shared" ref="E203:E208" si="287">100*(B203/B$202-1)</f>
        <v>0.54529295595304728</v>
      </c>
      <c r="F203" s="199">
        <f t="shared" ref="F203" si="288">(100*(B203/B191-1))</f>
        <v>1.8388374867531532</v>
      </c>
      <c r="G203" s="200">
        <f t="shared" ref="G203" si="289">100*(B203/B179-1)</f>
        <v>3.5950030889336126</v>
      </c>
      <c r="H203" s="174">
        <f t="shared" si="97"/>
        <v>1.0753407801558985</v>
      </c>
    </row>
    <row r="204" spans="1:8" ht="16.5" customHeight="1">
      <c r="A204" s="196" t="str">
        <f>Rodoar!A204</f>
        <v>FEVEREIRO|20</v>
      </c>
      <c r="B204" s="280">
        <f>[250]PNEU!$C$26</f>
        <v>2134.174</v>
      </c>
      <c r="C204" s="197">
        <f t="shared" ref="C204" si="290">100*B204/B$8</f>
        <v>189.18305114794788</v>
      </c>
      <c r="D204" s="198">
        <f t="shared" ref="D204" si="291">100*(B204/B203-1)</f>
        <v>-1.6452568213638386</v>
      </c>
      <c r="E204" s="198">
        <f t="shared" si="287"/>
        <v>-1.1089353349650222</v>
      </c>
      <c r="F204" s="199">
        <f t="shared" ref="F204" si="292">(100*(B204/B192-1))</f>
        <v>-1.717274612887898</v>
      </c>
      <c r="G204" s="200">
        <f t="shared" ref="G204" si="293">100*(B204/B180-1)</f>
        <v>2.192604425239808</v>
      </c>
      <c r="H204" s="174">
        <f t="shared" si="97"/>
        <v>1.0933288476009924</v>
      </c>
    </row>
    <row r="205" spans="1:8" ht="16.5" customHeight="1">
      <c r="A205" s="196" t="str">
        <f>Rodoar!A205</f>
        <v>MARÇO|20</v>
      </c>
      <c r="B205" s="280">
        <f>[251]PNEU!$C$26</f>
        <v>2127.5819999999999</v>
      </c>
      <c r="C205" s="197">
        <f t="shared" ref="C205" si="294">100*B205/B$8</f>
        <v>188.59870578849393</v>
      </c>
      <c r="D205" s="198">
        <f t="shared" ref="D205" si="295">100*(B205/B204-1)</f>
        <v>-0.30887828265174777</v>
      </c>
      <c r="E205" s="198">
        <f t="shared" si="287"/>
        <v>-1.414388357198415</v>
      </c>
      <c r="F205" s="199">
        <f t="shared" ref="F205" si="296">(100*(B205/B193-1))</f>
        <v>-2.3804935525431947</v>
      </c>
      <c r="G205" s="200">
        <f t="shared" ref="G205" si="297">100*(B205/B181-1)</f>
        <v>2.0528745423986194</v>
      </c>
      <c r="H205" s="174">
        <f t="shared" si="97"/>
        <v>1.0967163662787147</v>
      </c>
    </row>
    <row r="206" spans="1:8" ht="16.5" customHeight="1">
      <c r="A206" s="196" t="str">
        <f>Rodoar!A206</f>
        <v>ABRIL|20</v>
      </c>
      <c r="B206" s="280">
        <f>[252]PNEU!$C$26</f>
        <v>2140.8599999999997</v>
      </c>
      <c r="C206" s="197">
        <f t="shared" ref="C206" si="298">100*B206/B$8</f>
        <v>189.77572910202994</v>
      </c>
      <c r="D206" s="198">
        <f t="shared" ref="D206" si="299">100*(B206/B205-1)</f>
        <v>0.62408875427597543</v>
      </c>
      <c r="E206" s="198">
        <f t="shared" si="287"/>
        <v>-0.79912664160149971</v>
      </c>
      <c r="F206" s="199">
        <f t="shared" ref="F206" si="300">(100*(B206/B194-1))</f>
        <v>-1.4093717418294904</v>
      </c>
      <c r="G206" s="200">
        <f t="shared" ref="G206" si="301">100*(B206/B182-1)</f>
        <v>2.9778465303671897</v>
      </c>
      <c r="H206" s="174">
        <f t="shared" si="97"/>
        <v>1.0899143334921484</v>
      </c>
    </row>
    <row r="207" spans="1:8" ht="16.5" customHeight="1">
      <c r="A207" s="196" t="str">
        <f>Rodoar!A207</f>
        <v>MAIO|20</v>
      </c>
      <c r="B207" s="280">
        <f>[253]PNEU!$C$26</f>
        <v>2177.482</v>
      </c>
      <c r="C207" s="197">
        <f t="shared" ref="C207" si="302">100*B207/B$8</f>
        <v>193.02207251130221</v>
      </c>
      <c r="D207" s="198">
        <f t="shared" ref="D207" si="303">100*(B207/B206-1)</f>
        <v>1.7106209654064397</v>
      </c>
      <c r="E207" s="198">
        <f t="shared" si="287"/>
        <v>0.89782429593354696</v>
      </c>
      <c r="F207" s="199">
        <f t="shared" ref="F207" si="304">(100*(B207/B195-1))</f>
        <v>0.6787491411603952</v>
      </c>
      <c r="G207" s="200">
        <f t="shared" ref="G207" si="305">100*(B207/B183-1)</f>
        <v>4.3316061977558773</v>
      </c>
      <c r="H207" s="174">
        <f t="shared" si="97"/>
        <v>1.0715835997725816</v>
      </c>
    </row>
    <row r="208" spans="1:8" ht="16.5" customHeight="1">
      <c r="A208" s="196" t="str">
        <f>Rodoar!A208</f>
        <v>JUNHO|20</v>
      </c>
      <c r="B208" s="280">
        <f>[254]PNEU!$C$26</f>
        <v>2237.2359999999999</v>
      </c>
      <c r="C208" s="197">
        <f t="shared" ref="C208" si="306">100*B208/B$8</f>
        <v>198.31894335608544</v>
      </c>
      <c r="D208" s="198">
        <f t="shared" ref="D208" si="307">100*(B208/B207-1)</f>
        <v>2.7441788267365652</v>
      </c>
      <c r="E208" s="198">
        <f t="shared" si="287"/>
        <v>3.666641026900419</v>
      </c>
      <c r="F208" s="199">
        <f t="shared" ref="F208" si="308">(100*(B208/B196-1))</f>
        <v>3.7295101349315019</v>
      </c>
      <c r="G208" s="200">
        <f t="shared" ref="G208" si="309">100*(B208/B184-1)</f>
        <v>5.9777058175954689</v>
      </c>
      <c r="H208" s="174">
        <f t="shared" si="97"/>
        <v>1.0429628344975677</v>
      </c>
    </row>
    <row r="209" spans="1:8" ht="16.5" customHeight="1">
      <c r="A209" s="196" t="str">
        <f>Rodoar!A209</f>
        <v>JULHO|20</v>
      </c>
      <c r="B209" s="280">
        <f>[255]PNEU!$C$26</f>
        <v>2318.6420000000003</v>
      </c>
      <c r="C209" s="197">
        <f t="shared" ref="C209" si="310">100*B209/B$8</f>
        <v>205.53514759329852</v>
      </c>
      <c r="D209" s="198">
        <f t="shared" ref="D209" si="311">100*(B209/B208-1)</f>
        <v>3.638686307568828</v>
      </c>
      <c r="E209" s="198">
        <f t="shared" ref="E209" si="312">100*(B209/B$202-1)</f>
        <v>7.4387448994627681</v>
      </c>
      <c r="F209" s="199">
        <f t="shared" ref="F209" si="313">(100*(B209/B197-1))</f>
        <v>7.5039016171194683</v>
      </c>
      <c r="G209" s="200">
        <f t="shared" ref="G209" si="314">100*(B209/B185-1)</f>
        <v>8.4490098699627083</v>
      </c>
      <c r="H209" s="174">
        <f t="shared" si="97"/>
        <v>1.0063450933779341</v>
      </c>
    </row>
    <row r="210" spans="1:8" ht="16.5" customHeight="1">
      <c r="A210" s="196" t="str">
        <f>Rodoar!A210</f>
        <v>AGOSTO|20</v>
      </c>
      <c r="B210" s="280">
        <f>[256]PNEU!$C$26</f>
        <v>2291.79</v>
      </c>
      <c r="C210" s="197">
        <f t="shared" ref="C210" si="315">100*B210/B$8</f>
        <v>203.15486215761015</v>
      </c>
      <c r="D210" s="198">
        <f t="shared" ref="D210" si="316">100*(B210/B209-1)</f>
        <v>-1.158091676075923</v>
      </c>
      <c r="E210" s="198">
        <f t="shared" ref="E210" si="317">100*(B210/B$202-1)</f>
        <v>6.1945057379016566</v>
      </c>
      <c r="F210" s="199">
        <f t="shared" ref="F210" si="318">(100*(B210/B198-1))</f>
        <v>8.4709775683046384</v>
      </c>
      <c r="G210" s="200">
        <f t="shared" ref="G210" si="319">100*(B210/B186-1)</f>
        <v>7.1930709138719351</v>
      </c>
      <c r="H210" s="268">
        <f t="shared" si="97"/>
        <v>1.0181360421330052</v>
      </c>
    </row>
    <row r="211" spans="1:8" ht="16.5" customHeight="1" thickBot="1">
      <c r="A211" s="151" t="str">
        <f>Rodoar!A211</f>
        <v>SETEMBRO|20</v>
      </c>
      <c r="B211" s="192">
        <f>[259]PNEU!$C$26</f>
        <v>2333.3540000000003</v>
      </c>
      <c r="C211" s="153">
        <f t="shared" ref="C211" si="320">100*B211/B$8</f>
        <v>206.83928729722547</v>
      </c>
      <c r="D211" s="154">
        <f t="shared" ref="D211" si="321">100*(B211/B210-1)</f>
        <v>1.8136042133005237</v>
      </c>
      <c r="E211" s="154">
        <f t="shared" ref="E211" si="322">100*(B211/B$202-1)</f>
        <v>8.1204537682579172</v>
      </c>
      <c r="F211" s="155">
        <f t="shared" ref="F211" si="323">(100*(B211/B199-1))</f>
        <v>8.4490009146817702</v>
      </c>
      <c r="G211" s="156">
        <f t="shared" ref="G211" si="324">100*(B211/B187-1)</f>
        <v>9.1371289643321418</v>
      </c>
      <c r="H211" s="157">
        <f t="shared" si="97"/>
        <v>1</v>
      </c>
    </row>
    <row r="212" spans="1:8">
      <c r="A212" s="125" t="s">
        <v>18</v>
      </c>
      <c r="B212" s="104"/>
      <c r="C212" s="104"/>
      <c r="D212" s="104"/>
      <c r="E212" s="104"/>
      <c r="F212" s="104"/>
      <c r="G212" s="104"/>
      <c r="H212" s="104"/>
    </row>
    <row r="213" spans="1:8">
      <c r="B213" s="104"/>
      <c r="C213" s="104"/>
      <c r="D213" s="104"/>
      <c r="E213" s="104"/>
      <c r="F213" s="104"/>
      <c r="G213" s="104"/>
      <c r="H213" s="104"/>
    </row>
    <row r="214" spans="1:8">
      <c r="B214" s="104"/>
      <c r="C214" s="104"/>
      <c r="D214" s="104"/>
      <c r="E214" s="104"/>
      <c r="F214" s="104"/>
      <c r="G214" s="104"/>
      <c r="H214" s="104"/>
    </row>
    <row r="215" spans="1:8">
      <c r="B215" s="104"/>
      <c r="C215" s="104"/>
      <c r="D215" s="104"/>
      <c r="E215" s="104"/>
      <c r="F215" s="104"/>
      <c r="G215" s="104"/>
      <c r="H215" s="104"/>
    </row>
    <row r="216" spans="1:8">
      <c r="B216" s="104"/>
      <c r="C216" s="104"/>
      <c r="D216" s="104"/>
      <c r="E216" s="104"/>
      <c r="F216" s="104"/>
      <c r="G216" s="104"/>
      <c r="H216" s="104"/>
    </row>
    <row r="217" spans="1:8">
      <c r="B217" s="104"/>
      <c r="C217" s="104"/>
      <c r="D217" s="104"/>
      <c r="E217" s="104"/>
      <c r="F217" s="104"/>
      <c r="G217" s="104"/>
      <c r="H217" s="104"/>
    </row>
    <row r="218" spans="1:8">
      <c r="B218" s="104"/>
      <c r="C218" s="104"/>
      <c r="D218" s="104"/>
      <c r="E218" s="104"/>
      <c r="F218" s="104"/>
      <c r="G218" s="104"/>
      <c r="H218" s="104"/>
    </row>
    <row r="219" spans="1:8">
      <c r="B219" s="104"/>
      <c r="C219" s="104"/>
      <c r="D219" s="104"/>
      <c r="E219" s="104"/>
      <c r="F219" s="104"/>
      <c r="G219" s="104"/>
      <c r="H219" s="104"/>
    </row>
    <row r="220" spans="1:8">
      <c r="B220" s="104"/>
      <c r="C220" s="104"/>
      <c r="D220" s="104"/>
      <c r="E220" s="104"/>
      <c r="F220" s="104"/>
      <c r="G220" s="104"/>
      <c r="H220" s="104"/>
    </row>
    <row r="221" spans="1:8">
      <c r="B221" s="104"/>
      <c r="C221" s="104"/>
      <c r="D221" s="104"/>
      <c r="E221" s="104"/>
      <c r="F221" s="104"/>
      <c r="G221" s="104"/>
      <c r="H221" s="104"/>
    </row>
    <row r="222" spans="1:8">
      <c r="B222" s="104"/>
      <c r="C222" s="104"/>
      <c r="D222" s="104"/>
      <c r="E222" s="104"/>
      <c r="F222" s="104"/>
      <c r="G222" s="104"/>
      <c r="H222" s="104"/>
    </row>
    <row r="223" spans="1:8">
      <c r="B223" s="104"/>
      <c r="C223" s="104"/>
      <c r="D223" s="104"/>
      <c r="E223" s="104"/>
      <c r="F223" s="104"/>
      <c r="G223" s="104"/>
      <c r="H223" s="104"/>
    </row>
    <row r="224" spans="1:8">
      <c r="A224" s="105"/>
      <c r="B224" s="104"/>
      <c r="C224" s="104"/>
      <c r="D224" s="104"/>
      <c r="E224" s="104"/>
      <c r="F224" s="104"/>
      <c r="G224" s="104"/>
      <c r="H224" s="104"/>
    </row>
    <row r="225" spans="1:8">
      <c r="B225" s="104"/>
      <c r="C225" s="104"/>
      <c r="D225" s="104"/>
      <c r="E225" s="104"/>
      <c r="F225" s="104"/>
      <c r="G225" s="104"/>
      <c r="H225" s="104"/>
    </row>
    <row r="226" spans="1:8">
      <c r="B226" s="104"/>
      <c r="C226" s="104"/>
      <c r="D226" s="104"/>
      <c r="E226" s="104"/>
      <c r="F226" s="104"/>
      <c r="G226" s="104"/>
      <c r="H226" s="104"/>
    </row>
    <row r="227" spans="1:8">
      <c r="A227" s="106"/>
      <c r="B227" s="104"/>
      <c r="C227" s="104"/>
      <c r="D227" s="104"/>
      <c r="E227" s="104"/>
      <c r="F227" s="104"/>
      <c r="G227" s="104"/>
      <c r="H227" s="104"/>
    </row>
    <row r="228" spans="1:8">
      <c r="A228" s="106"/>
      <c r="B228" s="107"/>
      <c r="C228" s="107"/>
      <c r="D228" s="108"/>
      <c r="E228" s="107"/>
      <c r="F228" s="104"/>
      <c r="G228" s="104"/>
      <c r="H228" s="104"/>
    </row>
    <row r="229" spans="1:8">
      <c r="B229" s="104"/>
      <c r="C229" s="104"/>
      <c r="D229" s="104"/>
      <c r="E229" s="104"/>
      <c r="F229" s="104"/>
      <c r="G229" s="104"/>
      <c r="H229" s="104"/>
    </row>
    <row r="230" spans="1:8">
      <c r="B230" s="104"/>
      <c r="C230" s="104"/>
      <c r="D230" s="104"/>
      <c r="E230" s="104"/>
      <c r="F230" s="104"/>
      <c r="G230" s="104"/>
      <c r="H230" s="104"/>
    </row>
    <row r="231" spans="1:8">
      <c r="B231" s="104"/>
      <c r="C231" s="104"/>
      <c r="D231" s="104"/>
      <c r="E231" s="104"/>
      <c r="F231" s="104"/>
      <c r="G231" s="104"/>
      <c r="H231" s="104"/>
    </row>
    <row r="232" spans="1:8">
      <c r="B232" s="104"/>
      <c r="C232" s="104"/>
      <c r="D232" s="104"/>
      <c r="E232" s="104"/>
      <c r="F232" s="104"/>
      <c r="G232" s="104"/>
      <c r="H232" s="104"/>
    </row>
    <row r="233" spans="1:8">
      <c r="B233" s="104"/>
      <c r="C233" s="104"/>
      <c r="D233" s="104"/>
      <c r="E233" s="104"/>
      <c r="F233" s="104"/>
      <c r="G233" s="104"/>
      <c r="H233" s="104"/>
    </row>
    <row r="234" spans="1:8">
      <c r="B234" s="104"/>
      <c r="C234" s="104"/>
      <c r="D234" s="104"/>
      <c r="E234" s="104"/>
      <c r="F234" s="104"/>
      <c r="G234" s="104"/>
      <c r="H234" s="104"/>
    </row>
    <row r="235" spans="1:8">
      <c r="B235" s="104"/>
      <c r="C235" s="104"/>
      <c r="D235" s="104"/>
      <c r="E235" s="104"/>
      <c r="F235" s="104"/>
      <c r="G235" s="104"/>
      <c r="H235" s="104"/>
    </row>
    <row r="236" spans="1:8">
      <c r="B236" s="104"/>
      <c r="C236" s="104"/>
      <c r="D236" s="104"/>
      <c r="E236" s="104"/>
      <c r="F236" s="104"/>
      <c r="G236" s="104"/>
      <c r="H236" s="104"/>
    </row>
    <row r="237" spans="1:8">
      <c r="B237" s="104"/>
      <c r="C237" s="104"/>
      <c r="D237" s="104"/>
      <c r="E237" s="104"/>
      <c r="F237" s="104"/>
      <c r="G237" s="104"/>
      <c r="H237" s="104"/>
    </row>
    <row r="238" spans="1:8">
      <c r="B238" s="104"/>
      <c r="C238" s="104"/>
      <c r="D238" s="104"/>
      <c r="E238" s="104"/>
      <c r="F238" s="104"/>
      <c r="G238" s="104"/>
      <c r="H238" s="104"/>
    </row>
    <row r="239" spans="1:8">
      <c r="B239" s="104"/>
      <c r="C239" s="104"/>
      <c r="D239" s="104"/>
      <c r="E239" s="104"/>
      <c r="F239" s="104"/>
      <c r="G239" s="104"/>
      <c r="H239" s="104"/>
    </row>
    <row r="240" spans="1:8">
      <c r="B240" s="104"/>
      <c r="C240" s="104"/>
      <c r="D240" s="104"/>
      <c r="E240" s="104"/>
      <c r="F240" s="104"/>
      <c r="G240" s="104"/>
      <c r="H240" s="104"/>
    </row>
    <row r="241" spans="1:8">
      <c r="A241" s="105"/>
      <c r="B241" s="104"/>
      <c r="C241" s="104"/>
      <c r="D241" s="104"/>
      <c r="E241" s="104"/>
      <c r="F241" s="104"/>
      <c r="G241" s="104"/>
      <c r="H241" s="104"/>
    </row>
    <row r="242" spans="1:8">
      <c r="B242" s="104"/>
      <c r="C242" s="104"/>
      <c r="D242" s="104"/>
      <c r="E242" s="104"/>
      <c r="F242" s="104"/>
      <c r="G242" s="104"/>
      <c r="H242" s="104"/>
    </row>
    <row r="243" spans="1:8">
      <c r="B243" s="104"/>
      <c r="C243" s="104"/>
      <c r="D243" s="104"/>
      <c r="E243" s="104"/>
      <c r="F243" s="104"/>
      <c r="G243" s="104"/>
      <c r="H243" s="104"/>
    </row>
    <row r="244" spans="1:8">
      <c r="B244" s="104"/>
      <c r="C244" s="104"/>
      <c r="D244" s="104"/>
      <c r="E244" s="104"/>
      <c r="F244" s="104"/>
      <c r="G244" s="104"/>
      <c r="H244" s="104"/>
    </row>
    <row r="245" spans="1:8">
      <c r="B245" s="104"/>
      <c r="C245" s="104"/>
      <c r="D245" s="104"/>
      <c r="E245" s="104"/>
      <c r="F245" s="104"/>
      <c r="G245" s="104"/>
      <c r="H245" s="104"/>
    </row>
    <row r="246" spans="1:8">
      <c r="B246" s="104"/>
      <c r="C246" s="104"/>
      <c r="D246" s="104"/>
      <c r="E246" s="104"/>
      <c r="F246" s="104"/>
      <c r="G246" s="104"/>
      <c r="H246" s="104"/>
    </row>
    <row r="247" spans="1:8">
      <c r="B247" s="104"/>
      <c r="C247" s="104"/>
      <c r="D247" s="104"/>
      <c r="E247" s="104"/>
      <c r="F247" s="104"/>
      <c r="G247" s="104"/>
      <c r="H247" s="104"/>
    </row>
    <row r="248" spans="1:8">
      <c r="B248" s="104"/>
      <c r="C248" s="104"/>
      <c r="D248" s="104"/>
      <c r="E248" s="104"/>
      <c r="F248" s="104"/>
      <c r="G248" s="104"/>
      <c r="H248" s="104"/>
    </row>
    <row r="249" spans="1:8">
      <c r="B249" s="104"/>
      <c r="C249" s="104"/>
      <c r="D249" s="104"/>
      <c r="E249" s="104"/>
      <c r="F249" s="104"/>
      <c r="G249" s="104"/>
      <c r="H249" s="104"/>
    </row>
    <row r="250" spans="1:8">
      <c r="B250" s="104"/>
      <c r="C250" s="104"/>
      <c r="D250" s="104"/>
      <c r="E250" s="104"/>
      <c r="F250" s="104"/>
      <c r="G250" s="104"/>
      <c r="H250" s="104"/>
    </row>
    <row r="251" spans="1:8">
      <c r="B251" s="104"/>
      <c r="C251" s="104"/>
      <c r="D251" s="104"/>
      <c r="E251" s="104"/>
      <c r="F251" s="104"/>
      <c r="G251" s="104"/>
      <c r="H251" s="104"/>
    </row>
    <row r="252" spans="1:8">
      <c r="B252" s="104"/>
      <c r="C252" s="104"/>
      <c r="D252" s="104"/>
      <c r="E252" s="104"/>
      <c r="F252" s="104"/>
      <c r="G252" s="104"/>
      <c r="H252" s="104"/>
    </row>
    <row r="253" spans="1:8">
      <c r="B253" s="104"/>
      <c r="C253" s="104"/>
      <c r="D253" s="104"/>
      <c r="E253" s="104"/>
      <c r="F253" s="104"/>
      <c r="G253" s="104"/>
      <c r="H253" s="104"/>
    </row>
    <row r="254" spans="1:8">
      <c r="B254" s="104"/>
      <c r="C254" s="104"/>
      <c r="D254" s="104"/>
      <c r="E254" s="104"/>
      <c r="F254" s="104"/>
      <c r="G254" s="104"/>
      <c r="H254" s="104"/>
    </row>
    <row r="255" spans="1:8">
      <c r="B255" s="104"/>
      <c r="C255" s="104"/>
      <c r="D255" s="104"/>
      <c r="E255" s="104"/>
      <c r="F255" s="104"/>
      <c r="G255" s="104"/>
      <c r="H255" s="104"/>
    </row>
    <row r="256" spans="1:8">
      <c r="B256" s="104"/>
      <c r="C256" s="104"/>
      <c r="D256" s="104"/>
      <c r="E256" s="104"/>
      <c r="F256" s="104"/>
      <c r="G256" s="104"/>
      <c r="H256" s="104"/>
    </row>
    <row r="257" spans="2:8">
      <c r="B257" s="104"/>
      <c r="C257" s="104"/>
      <c r="D257" s="104"/>
      <c r="E257" s="104"/>
      <c r="F257" s="104"/>
      <c r="G257" s="104"/>
      <c r="H257" s="104"/>
    </row>
    <row r="258" spans="2:8">
      <c r="B258" s="104"/>
      <c r="C258" s="104"/>
      <c r="D258" s="104"/>
      <c r="E258" s="104"/>
      <c r="F258" s="104"/>
      <c r="G258" s="104"/>
      <c r="H258" s="104"/>
    </row>
    <row r="259" spans="2:8">
      <c r="B259" s="104"/>
      <c r="C259" s="104"/>
      <c r="D259" s="104"/>
      <c r="E259" s="104"/>
      <c r="F259" s="104"/>
      <c r="G259" s="104"/>
      <c r="H259" s="104"/>
    </row>
    <row r="260" spans="2:8">
      <c r="B260" s="104"/>
      <c r="C260" s="104"/>
      <c r="D260" s="104"/>
      <c r="E260" s="104"/>
      <c r="F260" s="104"/>
      <c r="G260" s="104"/>
      <c r="H260" s="104"/>
    </row>
    <row r="261" spans="2:8">
      <c r="B261" s="104"/>
      <c r="C261" s="104"/>
      <c r="D261" s="104"/>
      <c r="E261" s="104"/>
      <c r="F261" s="104"/>
      <c r="G261" s="104"/>
      <c r="H261" s="104"/>
    </row>
    <row r="262" spans="2:8">
      <c r="B262" s="104"/>
      <c r="C262" s="104"/>
      <c r="D262" s="104"/>
      <c r="E262" s="104"/>
      <c r="F262" s="104"/>
      <c r="G262" s="104"/>
      <c r="H262" s="104"/>
    </row>
    <row r="263" spans="2:8">
      <c r="B263" s="104"/>
      <c r="C263" s="104"/>
      <c r="D263" s="104"/>
      <c r="E263" s="104"/>
      <c r="F263" s="104"/>
      <c r="G263" s="104"/>
      <c r="H263" s="104"/>
    </row>
    <row r="264" spans="2:8">
      <c r="B264" s="104"/>
      <c r="C264" s="104"/>
      <c r="D264" s="104"/>
      <c r="E264" s="104"/>
      <c r="F264" s="104"/>
      <c r="G264" s="104"/>
      <c r="H264" s="104"/>
    </row>
    <row r="265" spans="2:8">
      <c r="B265" s="104"/>
      <c r="C265" s="104"/>
      <c r="D265" s="104"/>
      <c r="E265" s="104"/>
      <c r="F265" s="104"/>
      <c r="G265" s="104"/>
      <c r="H265" s="104"/>
    </row>
    <row r="266" spans="2:8">
      <c r="B266" s="104"/>
      <c r="C266" s="104"/>
      <c r="D266" s="104"/>
      <c r="E266" s="104"/>
      <c r="F266" s="104"/>
      <c r="G266" s="104"/>
      <c r="H266" s="104"/>
    </row>
    <row r="267" spans="2:8">
      <c r="B267" s="104"/>
      <c r="C267" s="104"/>
      <c r="D267" s="104"/>
      <c r="E267" s="104"/>
      <c r="F267" s="104"/>
      <c r="G267" s="104"/>
      <c r="H267" s="104"/>
    </row>
    <row r="268" spans="2:8">
      <c r="B268" s="104"/>
      <c r="C268" s="104"/>
      <c r="D268" s="104"/>
      <c r="E268" s="104"/>
      <c r="F268" s="104"/>
      <c r="G268" s="104"/>
      <c r="H268" s="104"/>
    </row>
    <row r="269" spans="2:8">
      <c r="B269" s="104"/>
      <c r="C269" s="104"/>
      <c r="D269" s="104"/>
      <c r="E269" s="104"/>
      <c r="F269" s="104"/>
      <c r="G269" s="104"/>
      <c r="H269" s="104"/>
    </row>
    <row r="270" spans="2:8">
      <c r="B270" s="104"/>
      <c r="C270" s="104"/>
      <c r="D270" s="104"/>
      <c r="E270" s="104"/>
      <c r="F270" s="104"/>
      <c r="G270" s="104"/>
      <c r="H270" s="104"/>
    </row>
    <row r="271" spans="2:8">
      <c r="B271" s="104"/>
      <c r="C271" s="104"/>
      <c r="D271" s="104"/>
      <c r="E271" s="104"/>
      <c r="F271" s="104"/>
      <c r="G271" s="104"/>
      <c r="H271" s="104"/>
    </row>
    <row r="272" spans="2:8">
      <c r="B272" s="104"/>
      <c r="C272" s="104"/>
      <c r="D272" s="104"/>
      <c r="E272" s="104"/>
      <c r="F272" s="104"/>
      <c r="G272" s="104"/>
      <c r="H272" s="104"/>
    </row>
    <row r="273" spans="2:8">
      <c r="B273" s="104"/>
      <c r="C273" s="104"/>
      <c r="D273" s="104"/>
      <c r="E273" s="104"/>
      <c r="F273" s="104"/>
      <c r="G273" s="104"/>
      <c r="H273" s="104"/>
    </row>
    <row r="274" spans="2:8">
      <c r="B274" s="104"/>
      <c r="C274" s="104"/>
      <c r="D274" s="104"/>
      <c r="E274" s="104"/>
      <c r="F274" s="104"/>
      <c r="G274" s="104"/>
      <c r="H274" s="104"/>
    </row>
    <row r="275" spans="2:8">
      <c r="B275" s="104"/>
      <c r="C275" s="104"/>
      <c r="D275" s="104"/>
      <c r="E275" s="104"/>
      <c r="F275" s="104"/>
      <c r="G275" s="104"/>
      <c r="H275" s="104"/>
    </row>
    <row r="276" spans="2:8">
      <c r="B276" s="104"/>
      <c r="C276" s="104"/>
      <c r="D276" s="104"/>
      <c r="E276" s="104"/>
      <c r="F276" s="104"/>
      <c r="G276" s="104"/>
      <c r="H276" s="104"/>
    </row>
    <row r="277" spans="2:8">
      <c r="B277" s="104"/>
      <c r="C277" s="104"/>
      <c r="D277" s="104"/>
      <c r="E277" s="104"/>
      <c r="F277" s="104"/>
      <c r="G277" s="104"/>
      <c r="H277" s="104"/>
    </row>
    <row r="278" spans="2:8">
      <c r="B278" s="104"/>
      <c r="C278" s="104"/>
      <c r="D278" s="104"/>
      <c r="E278" s="104"/>
      <c r="F278" s="104"/>
      <c r="G278" s="104"/>
      <c r="H278" s="104"/>
    </row>
    <row r="279" spans="2:8">
      <c r="B279" s="104"/>
      <c r="C279" s="104"/>
      <c r="D279" s="104"/>
      <c r="E279" s="104"/>
      <c r="F279" s="104"/>
      <c r="G279" s="104"/>
      <c r="H279" s="104"/>
    </row>
    <row r="280" spans="2:8">
      <c r="B280" s="104"/>
      <c r="C280" s="104"/>
      <c r="D280" s="104"/>
      <c r="E280" s="104"/>
      <c r="F280" s="104"/>
      <c r="G280" s="104"/>
      <c r="H280" s="104"/>
    </row>
    <row r="281" spans="2:8">
      <c r="B281" s="104"/>
      <c r="C281" s="104"/>
      <c r="D281" s="104"/>
      <c r="E281" s="104"/>
      <c r="F281" s="104"/>
      <c r="G281" s="104"/>
      <c r="H281" s="104"/>
    </row>
    <row r="282" spans="2:8">
      <c r="B282" s="104"/>
      <c r="C282" s="104"/>
      <c r="D282" s="104"/>
      <c r="E282" s="104"/>
      <c r="F282" s="104"/>
      <c r="G282" s="104"/>
      <c r="H282" s="104"/>
    </row>
    <row r="283" spans="2:8">
      <c r="B283" s="104"/>
      <c r="C283" s="104"/>
      <c r="D283" s="104"/>
      <c r="E283" s="104"/>
      <c r="F283" s="104"/>
      <c r="G283" s="104"/>
      <c r="H283" s="104"/>
    </row>
    <row r="284" spans="2:8">
      <c r="B284" s="104"/>
      <c r="C284" s="104"/>
      <c r="D284" s="104"/>
      <c r="E284" s="104"/>
      <c r="F284" s="104"/>
      <c r="G284" s="104"/>
      <c r="H284" s="104"/>
    </row>
    <row r="285" spans="2:8">
      <c r="B285" s="104"/>
      <c r="C285" s="104"/>
      <c r="D285" s="104"/>
      <c r="E285" s="104"/>
      <c r="F285" s="104"/>
      <c r="G285" s="104"/>
      <c r="H285" s="104"/>
    </row>
    <row r="286" spans="2:8">
      <c r="B286" s="104"/>
      <c r="C286" s="104"/>
      <c r="D286" s="104"/>
      <c r="E286" s="104"/>
      <c r="F286" s="104"/>
      <c r="G286" s="104"/>
      <c r="H286" s="104"/>
    </row>
    <row r="287" spans="2:8">
      <c r="B287" s="104"/>
      <c r="C287" s="104"/>
      <c r="D287" s="104"/>
      <c r="E287" s="104"/>
      <c r="F287" s="104"/>
      <c r="G287" s="104"/>
      <c r="H287" s="104"/>
    </row>
    <row r="288" spans="2:8">
      <c r="B288" s="104"/>
      <c r="C288" s="104"/>
      <c r="D288" s="104"/>
      <c r="E288" s="104"/>
      <c r="F288" s="104"/>
      <c r="G288" s="104"/>
      <c r="H288" s="104"/>
    </row>
    <row r="289" spans="2:8">
      <c r="B289" s="104"/>
      <c r="C289" s="104"/>
      <c r="D289" s="104"/>
      <c r="E289" s="104"/>
      <c r="F289" s="104"/>
      <c r="G289" s="104"/>
      <c r="H289" s="104"/>
    </row>
    <row r="290" spans="2:8">
      <c r="B290" s="104"/>
      <c r="C290" s="104"/>
      <c r="D290" s="104"/>
      <c r="E290" s="104"/>
      <c r="F290" s="104"/>
      <c r="G290" s="104"/>
      <c r="H290" s="104"/>
    </row>
    <row r="291" spans="2:8">
      <c r="B291" s="104"/>
      <c r="C291" s="104"/>
      <c r="D291" s="104"/>
      <c r="E291" s="104"/>
      <c r="F291" s="104"/>
      <c r="G291" s="104"/>
      <c r="H291" s="104"/>
    </row>
    <row r="292" spans="2:8">
      <c r="B292" s="104"/>
      <c r="C292" s="104"/>
      <c r="D292" s="104"/>
      <c r="E292" s="104"/>
      <c r="F292" s="104"/>
      <c r="G292" s="104"/>
      <c r="H292" s="104"/>
    </row>
    <row r="293" spans="2:8">
      <c r="B293" s="104"/>
      <c r="C293" s="104"/>
      <c r="D293" s="104"/>
      <c r="E293" s="104"/>
      <c r="F293" s="104"/>
      <c r="G293" s="104"/>
      <c r="H293" s="104"/>
    </row>
    <row r="294" spans="2:8">
      <c r="B294" s="104"/>
      <c r="C294" s="104"/>
      <c r="D294" s="104"/>
      <c r="E294" s="104"/>
      <c r="F294" s="104"/>
      <c r="G294" s="104"/>
      <c r="H294" s="104"/>
    </row>
    <row r="295" spans="2:8">
      <c r="B295" s="104"/>
      <c r="C295" s="104"/>
      <c r="D295" s="104"/>
      <c r="E295" s="104"/>
      <c r="F295" s="104"/>
      <c r="G295" s="104"/>
      <c r="H295" s="104"/>
    </row>
    <row r="296" spans="2:8">
      <c r="B296" s="104"/>
      <c r="C296" s="104"/>
      <c r="D296" s="104"/>
      <c r="E296" s="104"/>
      <c r="F296" s="104"/>
      <c r="G296" s="104"/>
      <c r="H296" s="104"/>
    </row>
    <row r="297" spans="2:8">
      <c r="B297" s="104"/>
      <c r="C297" s="104"/>
      <c r="D297" s="104"/>
      <c r="E297" s="104"/>
      <c r="F297" s="104"/>
      <c r="G297" s="104"/>
      <c r="H297" s="104"/>
    </row>
    <row r="298" spans="2:8">
      <c r="B298" s="104"/>
      <c r="C298" s="104"/>
      <c r="D298" s="104"/>
      <c r="E298" s="104"/>
      <c r="F298" s="104"/>
      <c r="G298" s="104"/>
      <c r="H298" s="104"/>
    </row>
    <row r="299" spans="2:8">
      <c r="B299" s="104"/>
      <c r="C299" s="104"/>
      <c r="D299" s="104"/>
      <c r="E299" s="104"/>
      <c r="F299" s="104"/>
      <c r="G299" s="104"/>
      <c r="H299" s="104"/>
    </row>
    <row r="300" spans="2:8">
      <c r="B300" s="104"/>
      <c r="C300" s="104"/>
      <c r="D300" s="104"/>
      <c r="E300" s="104"/>
      <c r="F300" s="104"/>
      <c r="G300" s="104"/>
      <c r="H300" s="104"/>
    </row>
    <row r="301" spans="2:8">
      <c r="B301" s="104"/>
      <c r="C301" s="104"/>
      <c r="D301" s="104"/>
      <c r="E301" s="104"/>
      <c r="F301" s="104"/>
      <c r="G301" s="104"/>
      <c r="H301" s="104"/>
    </row>
    <row r="302" spans="2:8">
      <c r="B302" s="104"/>
      <c r="C302" s="104"/>
      <c r="D302" s="104"/>
      <c r="E302" s="104"/>
      <c r="F302" s="104"/>
      <c r="G302" s="104"/>
      <c r="H302" s="104"/>
    </row>
    <row r="303" spans="2:8">
      <c r="B303" s="104"/>
      <c r="C303" s="104"/>
      <c r="D303" s="104"/>
      <c r="E303" s="104"/>
      <c r="F303" s="104"/>
      <c r="G303" s="104"/>
      <c r="H303" s="104"/>
    </row>
    <row r="304" spans="2:8">
      <c r="B304" s="104"/>
      <c r="C304" s="104"/>
      <c r="D304" s="104"/>
      <c r="E304" s="104"/>
      <c r="F304" s="104"/>
      <c r="G304" s="104"/>
      <c r="H304" s="104"/>
    </row>
    <row r="305" spans="2:8">
      <c r="B305" s="104"/>
      <c r="C305" s="104"/>
      <c r="D305" s="104"/>
      <c r="E305" s="104"/>
      <c r="F305" s="104"/>
      <c r="G305" s="104"/>
      <c r="H305" s="104"/>
    </row>
    <row r="306" spans="2:8">
      <c r="B306" s="104"/>
      <c r="C306" s="104"/>
      <c r="D306" s="104"/>
      <c r="E306" s="104"/>
      <c r="F306" s="104"/>
      <c r="G306" s="104"/>
      <c r="H306" s="104"/>
    </row>
    <row r="307" spans="2:8">
      <c r="B307" s="104"/>
      <c r="C307" s="104"/>
      <c r="D307" s="104"/>
      <c r="E307" s="104"/>
      <c r="F307" s="104"/>
      <c r="G307" s="104"/>
      <c r="H307" s="104"/>
    </row>
    <row r="308" spans="2:8">
      <c r="B308" s="104"/>
      <c r="C308" s="104"/>
      <c r="D308" s="104"/>
      <c r="E308" s="104"/>
      <c r="F308" s="104"/>
      <c r="G308" s="104"/>
      <c r="H308" s="104"/>
    </row>
    <row r="309" spans="2:8">
      <c r="B309" s="104"/>
      <c r="C309" s="104"/>
      <c r="D309" s="104"/>
      <c r="E309" s="104"/>
      <c r="F309" s="104"/>
      <c r="G309" s="104"/>
      <c r="H309" s="104"/>
    </row>
    <row r="310" spans="2:8">
      <c r="B310" s="104"/>
      <c r="C310" s="104"/>
      <c r="D310" s="104"/>
      <c r="E310" s="104"/>
      <c r="F310" s="104"/>
      <c r="G310" s="104"/>
      <c r="H310" s="104"/>
    </row>
    <row r="311" spans="2:8">
      <c r="B311" s="104"/>
      <c r="C311" s="104"/>
      <c r="D311" s="104"/>
      <c r="E311" s="104"/>
      <c r="F311" s="104"/>
      <c r="G311" s="104"/>
      <c r="H311" s="104"/>
    </row>
    <row r="312" spans="2:8">
      <c r="B312" s="104"/>
      <c r="C312" s="104"/>
      <c r="D312" s="104"/>
      <c r="E312" s="104"/>
      <c r="F312" s="104"/>
      <c r="G312" s="104"/>
      <c r="H312" s="104"/>
    </row>
    <row r="313" spans="2:8">
      <c r="B313" s="104"/>
      <c r="C313" s="104"/>
      <c r="D313" s="104"/>
      <c r="E313" s="104"/>
      <c r="F313" s="104"/>
      <c r="G313" s="104"/>
      <c r="H313" s="104"/>
    </row>
    <row r="314" spans="2:8">
      <c r="B314" s="104"/>
      <c r="C314" s="104"/>
      <c r="D314" s="104"/>
      <c r="E314" s="104"/>
      <c r="F314" s="104"/>
      <c r="G314" s="104"/>
      <c r="H314" s="104"/>
    </row>
    <row r="315" spans="2:8">
      <c r="B315" s="104"/>
      <c r="C315" s="104"/>
      <c r="D315" s="104"/>
      <c r="E315" s="104"/>
      <c r="F315" s="104"/>
      <c r="G315" s="104"/>
      <c r="H315" s="104"/>
    </row>
    <row r="316" spans="2:8">
      <c r="B316" s="104"/>
      <c r="C316" s="104"/>
      <c r="D316" s="104"/>
      <c r="E316" s="104"/>
      <c r="F316" s="104"/>
      <c r="G316" s="104"/>
      <c r="H316" s="104"/>
    </row>
    <row r="317" spans="2:8">
      <c r="B317" s="104"/>
      <c r="C317" s="104"/>
      <c r="D317" s="104"/>
      <c r="E317" s="104"/>
      <c r="F317" s="104"/>
      <c r="G317" s="104"/>
      <c r="H317" s="104"/>
    </row>
    <row r="318" spans="2:8">
      <c r="B318" s="104"/>
      <c r="C318" s="104"/>
      <c r="D318" s="104"/>
      <c r="E318" s="104"/>
      <c r="F318" s="104"/>
      <c r="G318" s="104"/>
      <c r="H318" s="104"/>
    </row>
    <row r="319" spans="2:8">
      <c r="B319" s="104"/>
      <c r="C319" s="104"/>
      <c r="D319" s="104"/>
      <c r="E319" s="104"/>
      <c r="F319" s="104"/>
      <c r="G319" s="104"/>
      <c r="H319" s="104"/>
    </row>
    <row r="320" spans="2:8">
      <c r="B320" s="104"/>
      <c r="C320" s="104"/>
      <c r="D320" s="104"/>
      <c r="E320" s="104"/>
      <c r="F320" s="104"/>
      <c r="G320" s="104"/>
      <c r="H320" s="104"/>
    </row>
    <row r="321" spans="2:8">
      <c r="B321" s="104"/>
      <c r="C321" s="104"/>
      <c r="D321" s="104"/>
      <c r="E321" s="104"/>
      <c r="F321" s="104"/>
      <c r="G321" s="104"/>
      <c r="H321" s="104"/>
    </row>
    <row r="322" spans="2:8">
      <c r="B322" s="104"/>
      <c r="C322" s="104"/>
      <c r="D322" s="104"/>
      <c r="E322" s="104"/>
      <c r="F322" s="104"/>
      <c r="G322" s="104"/>
      <c r="H322" s="104"/>
    </row>
    <row r="323" spans="2:8">
      <c r="B323" s="104"/>
      <c r="C323" s="104"/>
      <c r="D323" s="104"/>
      <c r="E323" s="104"/>
      <c r="F323" s="104"/>
      <c r="G323" s="104"/>
      <c r="H323" s="104"/>
    </row>
    <row r="324" spans="2:8">
      <c r="B324" s="104"/>
      <c r="C324" s="104"/>
      <c r="D324" s="104"/>
      <c r="E324" s="104"/>
      <c r="F324" s="104"/>
      <c r="G324" s="104"/>
      <c r="H324" s="104"/>
    </row>
    <row r="325" spans="2:8">
      <c r="B325" s="104"/>
      <c r="C325" s="104"/>
      <c r="D325" s="104"/>
      <c r="E325" s="104"/>
      <c r="F325" s="104"/>
      <c r="G325" s="104"/>
      <c r="H325" s="104"/>
    </row>
    <row r="326" spans="2:8">
      <c r="B326" s="104"/>
      <c r="C326" s="104"/>
      <c r="D326" s="104"/>
      <c r="E326" s="104"/>
      <c r="F326" s="104"/>
      <c r="G326" s="104"/>
      <c r="H326" s="104"/>
    </row>
    <row r="327" spans="2:8">
      <c r="B327" s="104"/>
      <c r="C327" s="104"/>
      <c r="D327" s="104"/>
      <c r="E327" s="104"/>
      <c r="F327" s="104"/>
      <c r="G327" s="104"/>
      <c r="H327" s="104"/>
    </row>
    <row r="328" spans="2:8">
      <c r="B328" s="104"/>
      <c r="C328" s="104"/>
      <c r="D328" s="104"/>
      <c r="E328" s="104"/>
      <c r="F328" s="104"/>
      <c r="G328" s="104"/>
      <c r="H328" s="104"/>
    </row>
    <row r="329" spans="2:8">
      <c r="B329" s="104"/>
      <c r="C329" s="104"/>
      <c r="D329" s="104"/>
      <c r="E329" s="104"/>
      <c r="F329" s="104"/>
      <c r="G329" s="104"/>
      <c r="H329" s="104"/>
    </row>
    <row r="330" spans="2:8">
      <c r="B330" s="104"/>
      <c r="C330" s="104"/>
      <c r="D330" s="104"/>
      <c r="E330" s="104"/>
      <c r="F330" s="104"/>
      <c r="G330" s="104"/>
      <c r="H330" s="104"/>
    </row>
    <row r="331" spans="2:8">
      <c r="B331" s="104"/>
      <c r="C331" s="104"/>
      <c r="D331" s="104"/>
      <c r="E331" s="104"/>
      <c r="F331" s="104"/>
      <c r="G331" s="104"/>
      <c r="H331" s="104"/>
    </row>
    <row r="332" spans="2:8">
      <c r="B332" s="104"/>
      <c r="C332" s="104"/>
      <c r="D332" s="104"/>
      <c r="E332" s="104"/>
      <c r="F332" s="104"/>
      <c r="G332" s="104"/>
      <c r="H332" s="104"/>
    </row>
    <row r="333" spans="2:8">
      <c r="B333" s="104"/>
      <c r="C333" s="104"/>
      <c r="D333" s="104"/>
      <c r="E333" s="104"/>
      <c r="F333" s="104"/>
      <c r="G333" s="104"/>
      <c r="H333" s="104"/>
    </row>
    <row r="334" spans="2:8">
      <c r="B334" s="104"/>
      <c r="C334" s="104"/>
      <c r="D334" s="104"/>
      <c r="E334" s="104"/>
      <c r="F334" s="104"/>
      <c r="G334" s="104"/>
      <c r="H334" s="104"/>
    </row>
    <row r="335" spans="2:8">
      <c r="B335" s="104"/>
      <c r="C335" s="104"/>
      <c r="D335" s="104"/>
      <c r="E335" s="104"/>
      <c r="F335" s="104"/>
      <c r="G335" s="104"/>
      <c r="H335" s="104"/>
    </row>
    <row r="336" spans="2:8">
      <c r="B336" s="104"/>
      <c r="C336" s="104"/>
      <c r="D336" s="104"/>
      <c r="E336" s="104"/>
      <c r="F336" s="104"/>
      <c r="G336" s="104"/>
      <c r="H336" s="104"/>
    </row>
    <row r="337" spans="2:8">
      <c r="B337" s="104"/>
      <c r="C337" s="104"/>
      <c r="D337" s="104"/>
      <c r="E337" s="104"/>
      <c r="F337" s="104"/>
      <c r="G337" s="104"/>
      <c r="H337" s="104"/>
    </row>
    <row r="338" spans="2:8">
      <c r="B338" s="104"/>
      <c r="C338" s="104"/>
      <c r="D338" s="104"/>
      <c r="E338" s="104"/>
      <c r="F338" s="104"/>
      <c r="G338" s="104"/>
      <c r="H338" s="104"/>
    </row>
    <row r="339" spans="2:8">
      <c r="B339" s="104"/>
      <c r="C339" s="104"/>
      <c r="D339" s="104"/>
      <c r="E339" s="104"/>
      <c r="F339" s="104"/>
      <c r="G339" s="104"/>
      <c r="H339" s="104"/>
    </row>
    <row r="340" spans="2:8">
      <c r="B340" s="104"/>
      <c r="C340" s="104"/>
      <c r="D340" s="104"/>
      <c r="E340" s="104"/>
      <c r="F340" s="104"/>
      <c r="G340" s="104"/>
      <c r="H340" s="104"/>
    </row>
    <row r="341" spans="2:8">
      <c r="B341" s="104"/>
      <c r="C341" s="104"/>
      <c r="D341" s="104"/>
      <c r="E341" s="104"/>
      <c r="F341" s="104"/>
      <c r="G341" s="104"/>
      <c r="H341" s="104"/>
    </row>
    <row r="342" spans="2:8">
      <c r="B342" s="104"/>
      <c r="C342" s="104"/>
      <c r="D342" s="104"/>
      <c r="E342" s="104"/>
      <c r="F342" s="104"/>
      <c r="G342" s="104"/>
      <c r="H342" s="104"/>
    </row>
    <row r="343" spans="2:8">
      <c r="B343" s="104"/>
      <c r="C343" s="104"/>
      <c r="D343" s="104"/>
      <c r="E343" s="104"/>
      <c r="F343" s="104"/>
      <c r="G343" s="104"/>
      <c r="H343" s="104"/>
    </row>
    <row r="344" spans="2:8">
      <c r="B344" s="104"/>
      <c r="C344" s="104"/>
      <c r="D344" s="104"/>
      <c r="E344" s="104"/>
      <c r="F344" s="104"/>
      <c r="G344" s="104"/>
      <c r="H344" s="104"/>
    </row>
    <row r="345" spans="2:8">
      <c r="B345" s="104"/>
      <c r="C345" s="104"/>
      <c r="D345" s="104"/>
      <c r="E345" s="104"/>
      <c r="F345" s="104"/>
      <c r="G345" s="104"/>
      <c r="H345" s="104"/>
    </row>
    <row r="346" spans="2:8">
      <c r="B346" s="104"/>
      <c r="C346" s="104"/>
      <c r="D346" s="104"/>
      <c r="E346" s="104"/>
      <c r="F346" s="104"/>
      <c r="G346" s="104"/>
      <c r="H346" s="104"/>
    </row>
    <row r="347" spans="2:8">
      <c r="B347" s="104"/>
      <c r="C347" s="104"/>
      <c r="D347" s="104"/>
      <c r="E347" s="104"/>
      <c r="F347" s="104"/>
      <c r="G347" s="104"/>
      <c r="H347" s="104"/>
    </row>
    <row r="348" spans="2:8">
      <c r="B348" s="104"/>
      <c r="C348" s="104"/>
      <c r="D348" s="104"/>
      <c r="E348" s="104"/>
      <c r="F348" s="104"/>
      <c r="G348" s="104"/>
      <c r="H348" s="104"/>
    </row>
    <row r="349" spans="2:8">
      <c r="B349" s="104"/>
      <c r="C349" s="104"/>
      <c r="D349" s="104"/>
      <c r="E349" s="104"/>
      <c r="F349" s="104"/>
      <c r="G349" s="104"/>
      <c r="H349" s="104"/>
    </row>
    <row r="350" spans="2:8">
      <c r="B350" s="104"/>
      <c r="C350" s="104"/>
      <c r="D350" s="104"/>
      <c r="E350" s="104"/>
      <c r="F350" s="104"/>
      <c r="G350" s="104"/>
      <c r="H350" s="104"/>
    </row>
    <row r="351" spans="2:8">
      <c r="B351" s="104"/>
      <c r="C351" s="104"/>
      <c r="D351" s="104"/>
      <c r="E351" s="104"/>
      <c r="F351" s="104"/>
      <c r="G351" s="104"/>
      <c r="H351" s="104"/>
    </row>
    <row r="352" spans="2:8">
      <c r="B352" s="104"/>
      <c r="C352" s="104"/>
      <c r="D352" s="104"/>
      <c r="E352" s="104"/>
      <c r="F352" s="104"/>
      <c r="G352" s="104"/>
      <c r="H352" s="104"/>
    </row>
    <row r="353" spans="2:8">
      <c r="B353" s="104"/>
      <c r="C353" s="104"/>
      <c r="D353" s="104"/>
      <c r="E353" s="104"/>
      <c r="F353" s="104"/>
      <c r="G353" s="104"/>
      <c r="H353" s="104"/>
    </row>
    <row r="354" spans="2:8">
      <c r="B354" s="104"/>
      <c r="C354" s="104"/>
      <c r="D354" s="104"/>
      <c r="E354" s="104"/>
      <c r="F354" s="104"/>
      <c r="G354" s="104"/>
      <c r="H354" s="104"/>
    </row>
    <row r="355" spans="2:8">
      <c r="B355" s="104"/>
      <c r="C355" s="104"/>
      <c r="D355" s="104"/>
      <c r="E355" s="104"/>
      <c r="F355" s="104"/>
      <c r="G355" s="104"/>
      <c r="H355" s="104"/>
    </row>
    <row r="356" spans="2:8">
      <c r="B356" s="104"/>
      <c r="C356" s="104"/>
      <c r="D356" s="104"/>
      <c r="E356" s="104"/>
      <c r="F356" s="104"/>
      <c r="G356" s="104"/>
      <c r="H356" s="104"/>
    </row>
    <row r="357" spans="2:8">
      <c r="B357" s="104"/>
      <c r="C357" s="104"/>
      <c r="D357" s="104"/>
      <c r="E357" s="104"/>
      <c r="F357" s="104"/>
      <c r="G357" s="104"/>
      <c r="H357" s="104"/>
    </row>
    <row r="358" spans="2:8">
      <c r="B358" s="104"/>
      <c r="C358" s="104"/>
      <c r="D358" s="104"/>
      <c r="E358" s="104"/>
      <c r="F358" s="104"/>
      <c r="G358" s="104"/>
      <c r="H358" s="104"/>
    </row>
    <row r="359" spans="2:8">
      <c r="B359" s="104"/>
      <c r="C359" s="104"/>
      <c r="D359" s="104"/>
      <c r="E359" s="104"/>
      <c r="F359" s="104"/>
      <c r="G359" s="104"/>
      <c r="H359" s="104"/>
    </row>
    <row r="360" spans="2:8">
      <c r="B360" s="104"/>
      <c r="C360" s="104"/>
      <c r="D360" s="104"/>
      <c r="E360" s="104"/>
      <c r="F360" s="104"/>
      <c r="G360" s="104"/>
      <c r="H360" s="104"/>
    </row>
    <row r="361" spans="2:8">
      <c r="B361" s="104"/>
      <c r="C361" s="104"/>
      <c r="D361" s="104"/>
      <c r="E361" s="104"/>
      <c r="F361" s="104"/>
      <c r="G361" s="104"/>
      <c r="H361" s="104"/>
    </row>
    <row r="362" spans="2:8">
      <c r="B362" s="104"/>
      <c r="C362" s="104"/>
      <c r="D362" s="104"/>
      <c r="E362" s="104"/>
      <c r="F362" s="104"/>
      <c r="G362" s="104"/>
      <c r="H362" s="104"/>
    </row>
    <row r="363" spans="2:8">
      <c r="B363" s="104"/>
      <c r="C363" s="104"/>
      <c r="D363" s="104"/>
      <c r="E363" s="104"/>
      <c r="F363" s="104"/>
      <c r="G363" s="104"/>
      <c r="H363" s="104"/>
    </row>
    <row r="364" spans="2:8">
      <c r="B364" s="104"/>
      <c r="C364" s="104"/>
      <c r="D364" s="104"/>
      <c r="E364" s="104"/>
      <c r="F364" s="104"/>
      <c r="G364" s="104"/>
      <c r="H364" s="104"/>
    </row>
    <row r="365" spans="2:8">
      <c r="B365" s="104"/>
      <c r="C365" s="104"/>
      <c r="D365" s="104"/>
      <c r="E365" s="104"/>
      <c r="F365" s="104"/>
      <c r="G365" s="104"/>
      <c r="H365" s="104"/>
    </row>
    <row r="366" spans="2:8">
      <c r="B366" s="104"/>
      <c r="C366" s="104"/>
      <c r="D366" s="104"/>
      <c r="E366" s="104"/>
      <c r="F366" s="104"/>
      <c r="G366" s="104"/>
      <c r="H366" s="104"/>
    </row>
    <row r="367" spans="2:8">
      <c r="B367" s="104"/>
      <c r="C367" s="104"/>
      <c r="D367" s="104"/>
      <c r="E367" s="104"/>
      <c r="F367" s="104"/>
      <c r="G367" s="104"/>
      <c r="H367" s="104"/>
    </row>
    <row r="368" spans="2:8">
      <c r="B368" s="104"/>
      <c r="C368" s="104"/>
      <c r="D368" s="104"/>
      <c r="E368" s="104"/>
      <c r="F368" s="104"/>
      <c r="G368" s="104"/>
      <c r="H368" s="104"/>
    </row>
    <row r="369" spans="2:8">
      <c r="B369" s="104"/>
      <c r="C369" s="104"/>
      <c r="D369" s="104"/>
      <c r="E369" s="104"/>
      <c r="F369" s="104"/>
      <c r="G369" s="104"/>
      <c r="H369" s="104"/>
    </row>
    <row r="370" spans="2:8">
      <c r="B370" s="104"/>
      <c r="C370" s="104"/>
      <c r="D370" s="104"/>
      <c r="E370" s="104"/>
      <c r="F370" s="104"/>
      <c r="G370" s="104"/>
      <c r="H370" s="104"/>
    </row>
    <row r="371" spans="2:8">
      <c r="B371" s="104"/>
      <c r="C371" s="104"/>
      <c r="D371" s="104"/>
      <c r="E371" s="104"/>
      <c r="F371" s="104"/>
      <c r="G371" s="104"/>
      <c r="H371" s="104"/>
    </row>
    <row r="372" spans="2:8">
      <c r="B372" s="104"/>
      <c r="C372" s="104"/>
      <c r="D372" s="104"/>
      <c r="E372" s="104"/>
      <c r="F372" s="104"/>
      <c r="G372" s="104"/>
      <c r="H372" s="104"/>
    </row>
    <row r="373" spans="2:8">
      <c r="B373" s="104"/>
      <c r="C373" s="104"/>
      <c r="D373" s="104"/>
      <c r="E373" s="104"/>
      <c r="F373" s="104"/>
      <c r="G373" s="104"/>
      <c r="H373" s="104"/>
    </row>
    <row r="374" spans="2:8">
      <c r="B374" s="104"/>
      <c r="C374" s="104"/>
      <c r="D374" s="104"/>
      <c r="E374" s="104"/>
      <c r="F374" s="104"/>
      <c r="G374" s="104"/>
      <c r="H374" s="104"/>
    </row>
    <row r="375" spans="2:8">
      <c r="B375" s="104"/>
      <c r="C375" s="104"/>
      <c r="D375" s="104"/>
      <c r="E375" s="104"/>
      <c r="F375" s="104"/>
      <c r="G375" s="104"/>
      <c r="H375" s="104"/>
    </row>
    <row r="376" spans="2:8">
      <c r="B376" s="104"/>
      <c r="C376" s="104"/>
      <c r="D376" s="104"/>
      <c r="E376" s="104"/>
      <c r="F376" s="104"/>
      <c r="G376" s="104"/>
      <c r="H376" s="104"/>
    </row>
    <row r="377" spans="2:8">
      <c r="B377" s="104"/>
      <c r="C377" s="104"/>
      <c r="D377" s="104"/>
      <c r="E377" s="104"/>
      <c r="F377" s="104"/>
      <c r="G377" s="104"/>
      <c r="H377" s="104"/>
    </row>
    <row r="378" spans="2:8">
      <c r="B378" s="104"/>
      <c r="C378" s="104"/>
      <c r="D378" s="104"/>
      <c r="E378" s="104"/>
      <c r="F378" s="104"/>
      <c r="G378" s="104"/>
      <c r="H378" s="104"/>
    </row>
    <row r="379" spans="2:8">
      <c r="B379" s="104"/>
      <c r="C379" s="104"/>
      <c r="D379" s="104"/>
      <c r="E379" s="104"/>
      <c r="F379" s="104"/>
      <c r="G379" s="104"/>
      <c r="H379" s="104"/>
    </row>
    <row r="380" spans="2:8">
      <c r="B380" s="104"/>
      <c r="C380" s="104"/>
      <c r="D380" s="104"/>
      <c r="E380" s="104"/>
      <c r="F380" s="104"/>
      <c r="G380" s="104"/>
      <c r="H380" s="104"/>
    </row>
    <row r="381" spans="2:8">
      <c r="B381" s="104"/>
      <c r="C381" s="104"/>
      <c r="D381" s="104"/>
      <c r="E381" s="104"/>
      <c r="F381" s="104"/>
      <c r="G381" s="104"/>
      <c r="H381" s="104"/>
    </row>
    <row r="382" spans="2:8">
      <c r="B382" s="104"/>
      <c r="C382" s="104"/>
      <c r="D382" s="104"/>
      <c r="E382" s="104"/>
      <c r="F382" s="104"/>
      <c r="G382" s="104"/>
      <c r="H382" s="104"/>
    </row>
    <row r="383" spans="2:8">
      <c r="B383" s="104"/>
      <c r="C383" s="104"/>
      <c r="D383" s="104"/>
      <c r="E383" s="104"/>
      <c r="F383" s="104"/>
      <c r="G383" s="104"/>
      <c r="H383" s="104"/>
    </row>
    <row r="384" spans="2:8">
      <c r="B384" s="104"/>
      <c r="C384" s="104"/>
      <c r="D384" s="104"/>
      <c r="E384" s="104"/>
      <c r="F384" s="104"/>
      <c r="G384" s="104"/>
      <c r="H384" s="104"/>
    </row>
    <row r="385" spans="2:8">
      <c r="B385" s="104"/>
      <c r="C385" s="104"/>
      <c r="D385" s="104"/>
      <c r="E385" s="104"/>
      <c r="F385" s="104"/>
      <c r="G385" s="104"/>
      <c r="H385" s="104"/>
    </row>
    <row r="386" spans="2:8">
      <c r="B386" s="104"/>
      <c r="C386" s="104"/>
      <c r="D386" s="104"/>
      <c r="E386" s="104"/>
      <c r="F386" s="104"/>
      <c r="G386" s="104"/>
      <c r="H386" s="104"/>
    </row>
    <row r="387" spans="2:8">
      <c r="B387" s="104"/>
      <c r="C387" s="104"/>
      <c r="D387" s="104"/>
      <c r="E387" s="104"/>
      <c r="F387" s="104"/>
      <c r="G387" s="104"/>
      <c r="H387" s="104"/>
    </row>
    <row r="388" spans="2:8">
      <c r="B388" s="104"/>
      <c r="C388" s="104"/>
      <c r="D388" s="104"/>
      <c r="E388" s="104"/>
      <c r="F388" s="104"/>
      <c r="G388" s="104"/>
      <c r="H388" s="104"/>
    </row>
    <row r="389" spans="2:8">
      <c r="B389" s="104"/>
      <c r="C389" s="104"/>
      <c r="D389" s="104"/>
      <c r="E389" s="104"/>
      <c r="F389" s="104"/>
      <c r="G389" s="104"/>
      <c r="H389" s="104"/>
    </row>
    <row r="390" spans="2:8">
      <c r="B390" s="104"/>
      <c r="C390" s="104"/>
      <c r="D390" s="104"/>
      <c r="E390" s="104"/>
      <c r="F390" s="104"/>
      <c r="G390" s="104"/>
      <c r="H390" s="104"/>
    </row>
    <row r="391" spans="2:8">
      <c r="B391" s="104"/>
      <c r="C391" s="104"/>
      <c r="D391" s="104"/>
      <c r="E391" s="104"/>
      <c r="F391" s="104"/>
      <c r="G391" s="104"/>
      <c r="H391" s="104"/>
    </row>
    <row r="392" spans="2:8">
      <c r="B392" s="104"/>
      <c r="C392" s="104"/>
      <c r="D392" s="104"/>
      <c r="E392" s="104"/>
      <c r="F392" s="104"/>
      <c r="G392" s="104"/>
      <c r="H392" s="104"/>
    </row>
    <row r="393" spans="2:8">
      <c r="B393" s="104"/>
      <c r="C393" s="104"/>
      <c r="D393" s="104"/>
      <c r="E393" s="104"/>
      <c r="F393" s="104"/>
      <c r="G393" s="104"/>
      <c r="H393" s="104"/>
    </row>
    <row r="394" spans="2:8">
      <c r="B394" s="104"/>
      <c r="C394" s="104"/>
      <c r="D394" s="104"/>
      <c r="E394" s="104"/>
      <c r="F394" s="104"/>
      <c r="G394" s="104"/>
      <c r="H394" s="104"/>
    </row>
    <row r="395" spans="2:8">
      <c r="B395" s="104"/>
      <c r="C395" s="104"/>
      <c r="D395" s="104"/>
      <c r="E395" s="104"/>
      <c r="F395" s="104"/>
      <c r="G395" s="104"/>
      <c r="H395" s="104"/>
    </row>
    <row r="396" spans="2:8">
      <c r="B396" s="104"/>
      <c r="C396" s="104"/>
      <c r="D396" s="104"/>
      <c r="E396" s="104"/>
      <c r="F396" s="104"/>
      <c r="G396" s="104"/>
      <c r="H396" s="104"/>
    </row>
    <row r="397" spans="2:8">
      <c r="B397" s="104"/>
      <c r="C397" s="104"/>
      <c r="D397" s="104"/>
      <c r="E397" s="104"/>
      <c r="F397" s="104"/>
      <c r="G397" s="104"/>
      <c r="H397" s="104"/>
    </row>
    <row r="398" spans="2:8">
      <c r="B398" s="104"/>
      <c r="C398" s="104"/>
      <c r="D398" s="104"/>
      <c r="E398" s="104"/>
      <c r="F398" s="104"/>
      <c r="G398" s="104"/>
      <c r="H398" s="104"/>
    </row>
    <row r="399" spans="2:8">
      <c r="B399" s="104"/>
      <c r="C399" s="104"/>
      <c r="D399" s="104"/>
      <c r="E399" s="104"/>
      <c r="F399" s="104"/>
      <c r="G399" s="104"/>
      <c r="H399" s="104"/>
    </row>
    <row r="400" spans="2:8">
      <c r="B400" s="104"/>
      <c r="C400" s="104"/>
      <c r="D400" s="104"/>
      <c r="E400" s="104"/>
      <c r="F400" s="104"/>
      <c r="G400" s="104"/>
      <c r="H400" s="104"/>
    </row>
    <row r="401" spans="2:8">
      <c r="B401" s="104"/>
      <c r="C401" s="104"/>
      <c r="D401" s="104"/>
      <c r="E401" s="104"/>
      <c r="F401" s="104"/>
      <c r="G401" s="104"/>
      <c r="H401" s="104"/>
    </row>
    <row r="402" spans="2:8">
      <c r="B402" s="104"/>
      <c r="C402" s="104"/>
      <c r="D402" s="104"/>
      <c r="E402" s="104"/>
      <c r="F402" s="104"/>
      <c r="G402" s="104"/>
      <c r="H402" s="104"/>
    </row>
    <row r="403" spans="2:8">
      <c r="B403" s="104"/>
      <c r="C403" s="104"/>
      <c r="D403" s="104"/>
      <c r="E403" s="104"/>
      <c r="F403" s="104"/>
      <c r="G403" s="104"/>
      <c r="H403" s="104"/>
    </row>
    <row r="404" spans="2:8">
      <c r="B404" s="104"/>
      <c r="C404" s="104"/>
      <c r="D404" s="104"/>
      <c r="E404" s="104"/>
      <c r="F404" s="104"/>
      <c r="G404" s="104"/>
      <c r="H404" s="104"/>
    </row>
    <row r="405" spans="2:8">
      <c r="B405" s="104"/>
      <c r="C405" s="104"/>
      <c r="D405" s="104"/>
      <c r="E405" s="104"/>
      <c r="F405" s="104"/>
      <c r="G405" s="104"/>
      <c r="H405" s="104"/>
    </row>
    <row r="406" spans="2:8">
      <c r="B406" s="104"/>
      <c r="C406" s="104"/>
      <c r="D406" s="104"/>
      <c r="E406" s="104"/>
      <c r="F406" s="104"/>
      <c r="G406" s="104"/>
      <c r="H406" s="104"/>
    </row>
    <row r="407" spans="2:8">
      <c r="B407" s="104"/>
      <c r="C407" s="104"/>
      <c r="D407" s="104"/>
      <c r="E407" s="104"/>
      <c r="F407" s="104"/>
      <c r="G407" s="104"/>
      <c r="H407" s="104"/>
    </row>
    <row r="408" spans="2:8">
      <c r="B408" s="104"/>
      <c r="C408" s="104"/>
      <c r="D408" s="104"/>
      <c r="E408" s="104"/>
      <c r="F408" s="104"/>
      <c r="G408" s="104"/>
      <c r="H408" s="104"/>
    </row>
    <row r="409" spans="2:8">
      <c r="B409" s="104"/>
      <c r="C409" s="104"/>
      <c r="D409" s="104"/>
      <c r="E409" s="104"/>
      <c r="F409" s="104"/>
      <c r="G409" s="104"/>
      <c r="H409" s="104"/>
    </row>
    <row r="410" spans="2:8">
      <c r="B410" s="104"/>
      <c r="C410" s="104"/>
      <c r="D410" s="104"/>
      <c r="E410" s="104"/>
      <c r="F410" s="104"/>
      <c r="G410" s="104"/>
      <c r="H410" s="104"/>
    </row>
    <row r="411" spans="2:8">
      <c r="B411" s="104"/>
      <c r="C411" s="104"/>
      <c r="D411" s="104"/>
      <c r="E411" s="104"/>
      <c r="F411" s="104"/>
      <c r="G411" s="104"/>
      <c r="H411" s="104"/>
    </row>
    <row r="412" spans="2:8">
      <c r="B412" s="104"/>
      <c r="C412" s="104"/>
      <c r="D412" s="104"/>
      <c r="E412" s="104"/>
      <c r="F412" s="104"/>
      <c r="G412" s="104"/>
      <c r="H412" s="104"/>
    </row>
    <row r="413" spans="2:8">
      <c r="B413" s="104"/>
      <c r="C413" s="104"/>
      <c r="D413" s="104"/>
      <c r="E413" s="104"/>
      <c r="F413" s="104"/>
      <c r="G413" s="104"/>
      <c r="H413" s="104"/>
    </row>
    <row r="414" spans="2:8">
      <c r="B414" s="104"/>
      <c r="C414" s="104"/>
      <c r="D414" s="104"/>
      <c r="E414" s="104"/>
      <c r="F414" s="104"/>
      <c r="G414" s="104"/>
      <c r="H414" s="104"/>
    </row>
    <row r="415" spans="2:8">
      <c r="B415" s="104"/>
      <c r="C415" s="104"/>
      <c r="D415" s="104"/>
      <c r="E415" s="104"/>
      <c r="F415" s="104"/>
      <c r="G415" s="104"/>
      <c r="H415" s="104"/>
    </row>
    <row r="416" spans="2:8">
      <c r="B416" s="104"/>
      <c r="C416" s="104"/>
      <c r="D416" s="104"/>
      <c r="E416" s="104"/>
      <c r="F416" s="104"/>
      <c r="G416" s="104"/>
      <c r="H416" s="104"/>
    </row>
    <row r="417" spans="2:8">
      <c r="B417" s="104"/>
      <c r="C417" s="104"/>
      <c r="D417" s="104"/>
      <c r="E417" s="104"/>
      <c r="F417" s="104"/>
      <c r="G417" s="104"/>
      <c r="H417" s="104"/>
    </row>
    <row r="418" spans="2:8">
      <c r="B418" s="104"/>
      <c r="C418" s="104"/>
      <c r="D418" s="104"/>
      <c r="E418" s="104"/>
      <c r="F418" s="104"/>
      <c r="G418" s="104"/>
      <c r="H418" s="104"/>
    </row>
    <row r="419" spans="2:8">
      <c r="B419" s="104"/>
      <c r="C419" s="104"/>
      <c r="D419" s="104"/>
      <c r="E419" s="104"/>
      <c r="F419" s="104"/>
      <c r="G419" s="104"/>
      <c r="H419" s="104"/>
    </row>
    <row r="420" spans="2:8">
      <c r="B420" s="104"/>
      <c r="C420" s="104"/>
      <c r="D420" s="104"/>
      <c r="E420" s="104"/>
      <c r="F420" s="104"/>
      <c r="G420" s="104"/>
      <c r="H420" s="104"/>
    </row>
    <row r="421" spans="2:8">
      <c r="B421" s="104"/>
      <c r="C421" s="104"/>
      <c r="D421" s="104"/>
      <c r="E421" s="104"/>
      <c r="F421" s="104"/>
      <c r="G421" s="104"/>
      <c r="H421" s="104"/>
    </row>
    <row r="422" spans="2:8">
      <c r="B422" s="104"/>
      <c r="C422" s="104"/>
      <c r="D422" s="104"/>
      <c r="E422" s="104"/>
      <c r="F422" s="104"/>
      <c r="G422" s="104"/>
      <c r="H422" s="104"/>
    </row>
    <row r="423" spans="2:8">
      <c r="B423" s="104"/>
      <c r="C423" s="104"/>
      <c r="D423" s="104"/>
      <c r="E423" s="104"/>
      <c r="F423" s="104"/>
      <c r="G423" s="104"/>
      <c r="H423" s="104"/>
    </row>
    <row r="424" spans="2:8">
      <c r="B424" s="104"/>
      <c r="C424" s="104"/>
      <c r="D424" s="104"/>
      <c r="E424" s="104"/>
      <c r="F424" s="104"/>
      <c r="G424" s="104"/>
      <c r="H424" s="104"/>
    </row>
    <row r="425" spans="2:8">
      <c r="B425" s="104"/>
      <c r="C425" s="104"/>
      <c r="D425" s="104"/>
      <c r="E425" s="104"/>
      <c r="F425" s="104"/>
      <c r="G425" s="104"/>
      <c r="H425" s="104"/>
    </row>
    <row r="426" spans="2:8">
      <c r="B426" s="104"/>
      <c r="C426" s="104"/>
      <c r="D426" s="104"/>
      <c r="E426" s="104"/>
      <c r="F426" s="104"/>
      <c r="G426" s="104"/>
      <c r="H426" s="104"/>
    </row>
    <row r="427" spans="2:8">
      <c r="B427" s="104"/>
      <c r="C427" s="104"/>
      <c r="D427" s="104"/>
      <c r="E427" s="104"/>
      <c r="F427" s="104"/>
      <c r="G427" s="104"/>
      <c r="H427" s="104"/>
    </row>
    <row r="428" spans="2:8">
      <c r="B428" s="104"/>
      <c r="C428" s="104"/>
      <c r="D428" s="104"/>
      <c r="E428" s="104"/>
      <c r="F428" s="104"/>
      <c r="G428" s="104"/>
      <c r="H428" s="104"/>
    </row>
    <row r="429" spans="2:8">
      <c r="B429" s="104"/>
      <c r="C429" s="104"/>
      <c r="D429" s="104"/>
      <c r="E429" s="104"/>
      <c r="F429" s="104"/>
      <c r="G429" s="104"/>
      <c r="H429" s="104"/>
    </row>
    <row r="430" spans="2:8">
      <c r="B430" s="104"/>
      <c r="C430" s="104"/>
      <c r="D430" s="104"/>
      <c r="E430" s="104"/>
      <c r="F430" s="104"/>
      <c r="G430" s="104"/>
      <c r="H430" s="104"/>
    </row>
    <row r="431" spans="2:8">
      <c r="B431" s="104"/>
      <c r="C431" s="104"/>
      <c r="D431" s="104"/>
      <c r="E431" s="104"/>
      <c r="F431" s="104"/>
      <c r="G431" s="104"/>
      <c r="H431" s="104"/>
    </row>
    <row r="432" spans="2:8">
      <c r="B432" s="104"/>
      <c r="C432" s="104"/>
      <c r="D432" s="104"/>
      <c r="E432" s="104"/>
      <c r="F432" s="104"/>
      <c r="G432" s="104"/>
      <c r="H432" s="104"/>
    </row>
    <row r="433" spans="2:8">
      <c r="B433" s="104"/>
      <c r="C433" s="104"/>
      <c r="D433" s="104"/>
      <c r="E433" s="104"/>
      <c r="F433" s="104"/>
      <c r="G433" s="104"/>
      <c r="H433" s="104"/>
    </row>
    <row r="434" spans="2:8">
      <c r="B434" s="104"/>
      <c r="C434" s="104"/>
      <c r="D434" s="104"/>
      <c r="E434" s="104"/>
      <c r="F434" s="104"/>
      <c r="G434" s="104"/>
      <c r="H434" s="104"/>
    </row>
    <row r="435" spans="2:8">
      <c r="B435" s="104"/>
      <c r="C435" s="104"/>
      <c r="D435" s="104"/>
      <c r="E435" s="104"/>
      <c r="F435" s="104"/>
      <c r="G435" s="104"/>
      <c r="H435" s="104"/>
    </row>
    <row r="436" spans="2:8">
      <c r="B436" s="104"/>
      <c r="C436" s="104"/>
      <c r="D436" s="104"/>
      <c r="E436" s="104"/>
      <c r="F436" s="104"/>
      <c r="G436" s="104"/>
      <c r="H436" s="104"/>
    </row>
    <row r="437" spans="2:8">
      <c r="B437" s="104"/>
      <c r="C437" s="104"/>
      <c r="D437" s="104"/>
      <c r="E437" s="104"/>
      <c r="F437" s="104"/>
      <c r="G437" s="104"/>
      <c r="H437" s="104"/>
    </row>
    <row r="438" spans="2:8">
      <c r="B438" s="104"/>
      <c r="C438" s="104"/>
      <c r="D438" s="104"/>
      <c r="E438" s="104"/>
      <c r="F438" s="104"/>
      <c r="G438" s="104"/>
      <c r="H438" s="104"/>
    </row>
    <row r="439" spans="2:8">
      <c r="B439" s="104"/>
      <c r="C439" s="104"/>
      <c r="D439" s="104"/>
      <c r="E439" s="104"/>
      <c r="F439" s="104"/>
      <c r="G439" s="104"/>
      <c r="H439" s="104"/>
    </row>
    <row r="440" spans="2:8">
      <c r="B440" s="104"/>
      <c r="C440" s="104"/>
      <c r="D440" s="104"/>
      <c r="E440" s="104"/>
      <c r="F440" s="104"/>
      <c r="G440" s="104"/>
      <c r="H440" s="104"/>
    </row>
    <row r="441" spans="2:8">
      <c r="B441" s="104"/>
      <c r="C441" s="104"/>
      <c r="D441" s="104"/>
      <c r="E441" s="104"/>
      <c r="F441" s="104"/>
      <c r="G441" s="104"/>
      <c r="H441" s="104"/>
    </row>
    <row r="442" spans="2:8">
      <c r="B442" s="104"/>
      <c r="C442" s="104"/>
      <c r="D442" s="104"/>
      <c r="E442" s="104"/>
      <c r="F442" s="104"/>
      <c r="G442" s="104"/>
      <c r="H442" s="104"/>
    </row>
    <row r="443" spans="2:8">
      <c r="B443" s="104"/>
      <c r="C443" s="104"/>
      <c r="D443" s="104"/>
      <c r="E443" s="104"/>
      <c r="F443" s="104"/>
      <c r="G443" s="104"/>
      <c r="H443" s="104"/>
    </row>
    <row r="444" spans="2:8">
      <c r="B444" s="104"/>
      <c r="C444" s="104"/>
      <c r="D444" s="104"/>
      <c r="E444" s="104"/>
      <c r="F444" s="104"/>
      <c r="G444" s="104"/>
      <c r="H444" s="104"/>
    </row>
    <row r="445" spans="2:8">
      <c r="B445" s="104"/>
      <c r="C445" s="104"/>
      <c r="D445" s="104"/>
      <c r="E445" s="104"/>
      <c r="F445" s="104"/>
      <c r="G445" s="104"/>
      <c r="H445" s="104"/>
    </row>
    <row r="446" spans="2:8">
      <c r="B446" s="104"/>
      <c r="C446" s="104"/>
      <c r="D446" s="104"/>
      <c r="E446" s="104"/>
      <c r="F446" s="104"/>
      <c r="G446" s="104"/>
      <c r="H446" s="104"/>
    </row>
    <row r="447" spans="2:8">
      <c r="B447" s="104"/>
      <c r="C447" s="104"/>
      <c r="D447" s="104"/>
      <c r="E447" s="104"/>
      <c r="F447" s="104"/>
      <c r="G447" s="104"/>
      <c r="H447" s="104"/>
    </row>
    <row r="448" spans="2:8">
      <c r="B448" s="104"/>
      <c r="C448" s="104"/>
      <c r="D448" s="104"/>
      <c r="E448" s="104"/>
      <c r="F448" s="104"/>
      <c r="G448" s="104"/>
      <c r="H448" s="104"/>
    </row>
    <row r="449" spans="2:8">
      <c r="B449" s="104"/>
      <c r="C449" s="104"/>
      <c r="D449" s="104"/>
      <c r="E449" s="104"/>
      <c r="F449" s="104"/>
      <c r="G449" s="104"/>
      <c r="H449" s="104"/>
    </row>
    <row r="450" spans="2:8">
      <c r="B450" s="104"/>
      <c r="C450" s="104"/>
      <c r="D450" s="104"/>
      <c r="E450" s="104"/>
      <c r="F450" s="104"/>
      <c r="G450" s="104"/>
      <c r="H450" s="104"/>
    </row>
    <row r="451" spans="2:8">
      <c r="B451" s="104"/>
      <c r="C451" s="104"/>
      <c r="D451" s="104"/>
      <c r="E451" s="104"/>
      <c r="F451" s="104"/>
      <c r="G451" s="104"/>
      <c r="H451" s="104"/>
    </row>
    <row r="452" spans="2:8">
      <c r="B452" s="104"/>
      <c r="C452" s="104"/>
      <c r="D452" s="104"/>
      <c r="E452" s="104"/>
      <c r="F452" s="104"/>
      <c r="G452" s="104"/>
      <c r="H452" s="104"/>
    </row>
    <row r="453" spans="2:8">
      <c r="B453" s="104"/>
      <c r="C453" s="104"/>
      <c r="D453" s="104"/>
      <c r="E453" s="104"/>
      <c r="F453" s="104"/>
      <c r="G453" s="104"/>
      <c r="H453" s="104"/>
    </row>
    <row r="454" spans="2:8">
      <c r="B454" s="104"/>
      <c r="C454" s="104"/>
      <c r="D454" s="104"/>
      <c r="E454" s="104"/>
      <c r="F454" s="104"/>
      <c r="G454" s="104"/>
      <c r="H454" s="104"/>
    </row>
    <row r="455" spans="2:8">
      <c r="B455" s="104"/>
      <c r="C455" s="104"/>
      <c r="D455" s="104"/>
      <c r="E455" s="104"/>
      <c r="F455" s="104"/>
      <c r="G455" s="104"/>
      <c r="H455" s="104"/>
    </row>
    <row r="456" spans="2:8">
      <c r="B456" s="104"/>
      <c r="C456" s="104"/>
      <c r="D456" s="104"/>
      <c r="E456" s="104"/>
      <c r="F456" s="104"/>
      <c r="G456" s="104"/>
      <c r="H456" s="104"/>
    </row>
    <row r="457" spans="2:8">
      <c r="B457" s="104"/>
      <c r="C457" s="104"/>
      <c r="D457" s="104"/>
      <c r="E457" s="104"/>
      <c r="F457" s="104"/>
      <c r="G457" s="104"/>
      <c r="H457" s="104"/>
    </row>
    <row r="458" spans="2:8">
      <c r="B458" s="104"/>
      <c r="C458" s="104"/>
      <c r="D458" s="104"/>
      <c r="E458" s="104"/>
      <c r="F458" s="104"/>
      <c r="G458" s="104"/>
      <c r="H458" s="104"/>
    </row>
    <row r="459" spans="2:8">
      <c r="B459" s="104"/>
      <c r="C459" s="104"/>
      <c r="D459" s="104"/>
      <c r="E459" s="104"/>
      <c r="F459" s="104"/>
      <c r="G459" s="104"/>
      <c r="H459" s="104"/>
    </row>
    <row r="460" spans="2:8">
      <c r="B460" s="104"/>
      <c r="C460" s="104"/>
      <c r="D460" s="104"/>
      <c r="E460" s="104"/>
      <c r="F460" s="104"/>
      <c r="G460" s="104"/>
      <c r="H460" s="104"/>
    </row>
    <row r="461" spans="2:8">
      <c r="B461" s="104"/>
      <c r="C461" s="104"/>
      <c r="D461" s="104"/>
      <c r="E461" s="104"/>
      <c r="F461" s="104"/>
      <c r="G461" s="104"/>
      <c r="H461" s="104"/>
    </row>
    <row r="462" spans="2:8">
      <c r="B462" s="104"/>
      <c r="C462" s="104"/>
      <c r="D462" s="104"/>
      <c r="E462" s="104"/>
      <c r="F462" s="104"/>
      <c r="G462" s="104"/>
      <c r="H462" s="104"/>
    </row>
    <row r="463" spans="2:8">
      <c r="B463" s="104"/>
      <c r="C463" s="104"/>
      <c r="D463" s="104"/>
      <c r="E463" s="104"/>
      <c r="F463" s="104"/>
      <c r="G463" s="104"/>
      <c r="H463" s="104"/>
    </row>
    <row r="464" spans="2:8">
      <c r="B464" s="104"/>
      <c r="C464" s="104"/>
      <c r="D464" s="104"/>
      <c r="E464" s="104"/>
      <c r="F464" s="104"/>
      <c r="G464" s="104"/>
      <c r="H464" s="104"/>
    </row>
    <row r="465" spans="2:8">
      <c r="B465" s="104"/>
      <c r="C465" s="104"/>
      <c r="D465" s="104"/>
      <c r="E465" s="104"/>
      <c r="F465" s="104"/>
      <c r="G465" s="104"/>
      <c r="H465" s="104"/>
    </row>
    <row r="466" spans="2:8">
      <c r="B466" s="104"/>
      <c r="C466" s="104"/>
      <c r="D466" s="104"/>
      <c r="E466" s="104"/>
      <c r="F466" s="104"/>
      <c r="G466" s="104"/>
      <c r="H466" s="104"/>
    </row>
    <row r="467" spans="2:8">
      <c r="B467" s="104"/>
      <c r="C467" s="104"/>
      <c r="D467" s="104"/>
      <c r="E467" s="104"/>
      <c r="F467" s="104"/>
      <c r="G467" s="104"/>
      <c r="H467" s="104"/>
    </row>
    <row r="468" spans="2:8">
      <c r="B468" s="104"/>
      <c r="C468" s="104"/>
      <c r="D468" s="104"/>
      <c r="E468" s="104"/>
      <c r="F468" s="104"/>
      <c r="G468" s="104"/>
      <c r="H468" s="104"/>
    </row>
    <row r="469" spans="2:8">
      <c r="B469" s="104"/>
      <c r="C469" s="104"/>
      <c r="D469" s="104"/>
      <c r="E469" s="104"/>
      <c r="F469" s="104"/>
      <c r="G469" s="104"/>
      <c r="H469" s="104"/>
    </row>
    <row r="470" spans="2:8">
      <c r="B470" s="104"/>
      <c r="C470" s="104"/>
      <c r="D470" s="104"/>
      <c r="E470" s="104"/>
      <c r="F470" s="104"/>
      <c r="G470" s="104"/>
      <c r="H470" s="104"/>
    </row>
    <row r="471" spans="2:8">
      <c r="B471" s="104"/>
      <c r="C471" s="104"/>
      <c r="D471" s="104"/>
      <c r="E471" s="104"/>
      <c r="F471" s="104"/>
      <c r="G471" s="104"/>
      <c r="H471" s="104"/>
    </row>
    <row r="472" spans="2:8">
      <c r="B472" s="104"/>
      <c r="C472" s="104"/>
      <c r="D472" s="104"/>
      <c r="E472" s="104"/>
      <c r="F472" s="104"/>
      <c r="G472" s="104"/>
      <c r="H472" s="104"/>
    </row>
    <row r="473" spans="2:8">
      <c r="B473" s="104"/>
      <c r="C473" s="104"/>
      <c r="D473" s="104"/>
      <c r="E473" s="104"/>
      <c r="F473" s="104"/>
      <c r="G473" s="104"/>
      <c r="H473" s="104"/>
    </row>
    <row r="474" spans="2:8">
      <c r="B474" s="104"/>
      <c r="C474" s="104"/>
      <c r="D474" s="104"/>
      <c r="E474" s="104"/>
      <c r="F474" s="104"/>
      <c r="G474" s="104"/>
      <c r="H474" s="104"/>
    </row>
    <row r="475" spans="2:8">
      <c r="B475" s="104"/>
      <c r="C475" s="104"/>
      <c r="D475" s="104"/>
      <c r="E475" s="104"/>
      <c r="F475" s="104"/>
      <c r="G475" s="104"/>
      <c r="H475" s="104"/>
    </row>
    <row r="476" spans="2:8">
      <c r="B476" s="104"/>
      <c r="C476" s="104"/>
      <c r="D476" s="104"/>
      <c r="E476" s="104"/>
      <c r="F476" s="104"/>
      <c r="G476" s="104"/>
      <c r="H476" s="104"/>
    </row>
    <row r="477" spans="2:8">
      <c r="B477" s="104"/>
      <c r="C477" s="104"/>
      <c r="D477" s="104"/>
      <c r="E477" s="104"/>
      <c r="F477" s="104"/>
      <c r="G477" s="104"/>
      <c r="H477" s="104"/>
    </row>
    <row r="478" spans="2:8">
      <c r="B478" s="104"/>
      <c r="C478" s="104"/>
      <c r="D478" s="104"/>
      <c r="E478" s="104"/>
      <c r="F478" s="104"/>
      <c r="G478" s="104"/>
      <c r="H478" s="104"/>
    </row>
    <row r="479" spans="2:8">
      <c r="B479" s="104"/>
      <c r="C479" s="104"/>
      <c r="D479" s="104"/>
      <c r="E479" s="104"/>
      <c r="F479" s="104"/>
      <c r="G479" s="104"/>
      <c r="H479" s="104"/>
    </row>
    <row r="480" spans="2:8">
      <c r="B480" s="104"/>
      <c r="C480" s="104"/>
      <c r="D480" s="104"/>
      <c r="E480" s="104"/>
      <c r="F480" s="104"/>
      <c r="G480" s="104"/>
      <c r="H480" s="104"/>
    </row>
    <row r="481" spans="2:8">
      <c r="B481" s="104"/>
      <c r="C481" s="104"/>
      <c r="D481" s="104"/>
      <c r="E481" s="104"/>
      <c r="F481" s="104"/>
      <c r="G481" s="104"/>
      <c r="H481" s="104"/>
    </row>
    <row r="482" spans="2:8">
      <c r="B482" s="104"/>
      <c r="C482" s="104"/>
      <c r="D482" s="104"/>
      <c r="E482" s="104"/>
      <c r="F482" s="104"/>
      <c r="G482" s="104"/>
      <c r="H482" s="104"/>
    </row>
    <row r="483" spans="2:8">
      <c r="B483" s="104"/>
      <c r="C483" s="104"/>
      <c r="D483" s="104"/>
      <c r="E483" s="104"/>
      <c r="F483" s="104"/>
      <c r="G483" s="104"/>
      <c r="H483" s="104"/>
    </row>
    <row r="484" spans="2:8">
      <c r="B484" s="104"/>
      <c r="C484" s="104"/>
      <c r="D484" s="104"/>
      <c r="E484" s="104"/>
      <c r="F484" s="104"/>
      <c r="G484" s="104"/>
      <c r="H484" s="104"/>
    </row>
    <row r="485" spans="2:8">
      <c r="B485" s="104"/>
      <c r="C485" s="104"/>
      <c r="D485" s="104"/>
      <c r="E485" s="104"/>
      <c r="F485" s="104"/>
      <c r="G485" s="104"/>
      <c r="H485" s="104"/>
    </row>
    <row r="486" spans="2:8">
      <c r="B486" s="104"/>
      <c r="C486" s="104"/>
      <c r="D486" s="104"/>
      <c r="E486" s="104"/>
      <c r="F486" s="104"/>
      <c r="G486" s="104"/>
      <c r="H486" s="104"/>
    </row>
    <row r="487" spans="2:8">
      <c r="B487" s="104"/>
      <c r="C487" s="104"/>
      <c r="D487" s="104"/>
      <c r="E487" s="104"/>
      <c r="F487" s="104"/>
      <c r="G487" s="104"/>
      <c r="H487" s="104"/>
    </row>
    <row r="488" spans="2:8">
      <c r="B488" s="104"/>
      <c r="C488" s="104"/>
      <c r="D488" s="104"/>
      <c r="E488" s="104"/>
      <c r="F488" s="104"/>
      <c r="G488" s="104"/>
      <c r="H488" s="104"/>
    </row>
    <row r="489" spans="2:8">
      <c r="B489" s="104"/>
      <c r="C489" s="104"/>
      <c r="D489" s="104"/>
      <c r="E489" s="104"/>
      <c r="F489" s="104"/>
      <c r="G489" s="104"/>
      <c r="H489" s="104"/>
    </row>
    <row r="490" spans="2:8">
      <c r="B490" s="104"/>
      <c r="C490" s="104"/>
      <c r="D490" s="104"/>
      <c r="E490" s="104"/>
      <c r="F490" s="104"/>
      <c r="G490" s="104"/>
      <c r="H490" s="104"/>
    </row>
    <row r="491" spans="2:8">
      <c r="B491" s="104"/>
      <c r="C491" s="104"/>
      <c r="D491" s="104"/>
      <c r="E491" s="104"/>
      <c r="F491" s="104"/>
      <c r="G491" s="104"/>
      <c r="H491" s="104"/>
    </row>
    <row r="492" spans="2:8">
      <c r="B492" s="104"/>
      <c r="C492" s="104"/>
      <c r="D492" s="104"/>
      <c r="E492" s="104"/>
      <c r="F492" s="104"/>
      <c r="G492" s="104"/>
      <c r="H492" s="104"/>
    </row>
    <row r="493" spans="2:8">
      <c r="B493" s="104"/>
      <c r="C493" s="104"/>
      <c r="D493" s="104"/>
      <c r="E493" s="104"/>
      <c r="F493" s="104"/>
      <c r="G493" s="104"/>
      <c r="H493" s="104"/>
    </row>
    <row r="494" spans="2:8">
      <c r="B494" s="104"/>
      <c r="C494" s="104"/>
      <c r="D494" s="104"/>
      <c r="E494" s="104"/>
      <c r="F494" s="104"/>
      <c r="G494" s="104"/>
      <c r="H494" s="104"/>
    </row>
    <row r="495" spans="2:8">
      <c r="B495" s="104"/>
      <c r="C495" s="104"/>
      <c r="D495" s="104"/>
      <c r="E495" s="104"/>
      <c r="F495" s="104"/>
      <c r="G495" s="104"/>
      <c r="H495" s="104"/>
    </row>
    <row r="496" spans="2:8">
      <c r="B496" s="104"/>
      <c r="C496" s="104"/>
      <c r="D496" s="104"/>
      <c r="E496" s="104"/>
      <c r="F496" s="104"/>
      <c r="G496" s="104"/>
      <c r="H496" s="104"/>
    </row>
    <row r="497" spans="2:8">
      <c r="B497" s="104"/>
      <c r="C497" s="104"/>
      <c r="D497" s="104"/>
      <c r="E497" s="104"/>
      <c r="F497" s="104"/>
      <c r="G497" s="104"/>
      <c r="H497" s="104"/>
    </row>
    <row r="498" spans="2:8">
      <c r="B498" s="104"/>
      <c r="C498" s="104"/>
      <c r="D498" s="104"/>
      <c r="E498" s="104"/>
      <c r="F498" s="104"/>
      <c r="G498" s="104"/>
      <c r="H498" s="104"/>
    </row>
    <row r="499" spans="2:8">
      <c r="B499" s="104"/>
      <c r="C499" s="104"/>
      <c r="D499" s="104"/>
      <c r="E499" s="104"/>
      <c r="F499" s="104"/>
      <c r="G499" s="104"/>
      <c r="H499" s="104"/>
    </row>
    <row r="500" spans="2:8">
      <c r="B500" s="104"/>
      <c r="C500" s="104"/>
      <c r="D500" s="104"/>
      <c r="E500" s="104"/>
      <c r="F500" s="104"/>
      <c r="G500" s="104"/>
      <c r="H500" s="104"/>
    </row>
    <row r="501" spans="2:8">
      <c r="B501" s="104"/>
      <c r="C501" s="104"/>
      <c r="D501" s="104"/>
      <c r="E501" s="104"/>
      <c r="F501" s="104"/>
      <c r="G501" s="104"/>
      <c r="H501" s="104"/>
    </row>
    <row r="502" spans="2:8">
      <c r="B502" s="104"/>
      <c r="C502" s="104"/>
      <c r="D502" s="104"/>
      <c r="E502" s="104"/>
      <c r="F502" s="104"/>
      <c r="G502" s="104"/>
      <c r="H502" s="104"/>
    </row>
    <row r="503" spans="2:8">
      <c r="B503" s="104"/>
      <c r="C503" s="104"/>
      <c r="D503" s="104"/>
      <c r="E503" s="104"/>
      <c r="F503" s="104"/>
      <c r="G503" s="104"/>
      <c r="H503" s="104"/>
    </row>
    <row r="504" spans="2:8">
      <c r="B504" s="104"/>
      <c r="C504" s="104"/>
      <c r="D504" s="104"/>
      <c r="E504" s="104"/>
      <c r="F504" s="104"/>
      <c r="G504" s="104"/>
      <c r="H504" s="104"/>
    </row>
    <row r="505" spans="2:8">
      <c r="B505" s="104"/>
      <c r="C505" s="104"/>
      <c r="D505" s="104"/>
      <c r="E505" s="104"/>
      <c r="F505" s="104"/>
      <c r="G505" s="104"/>
      <c r="H505" s="104"/>
    </row>
  </sheetData>
  <mergeCells count="6">
    <mergeCell ref="D1:H3"/>
    <mergeCell ref="A4:C4"/>
    <mergeCell ref="D4:H4"/>
    <mergeCell ref="A5:C5"/>
    <mergeCell ref="D5:G5"/>
    <mergeCell ref="H5:H6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2" orientation="portrait" r:id="rId1"/>
  <headerFooter>
    <oddFooter>&amp;L&amp;"Calibri,Regular"&amp;12&amp;K184782&amp;F&amp;C&amp;"Calibri,Regular"&amp;12&amp;K184782&amp;A&amp;R&amp;"Calibri,Regular"&amp;12&amp;K184782&amp;P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>
    <pageSetUpPr fitToPage="1"/>
  </sheetPr>
  <dimension ref="A1:H505"/>
  <sheetViews>
    <sheetView showGridLines="0" workbookViewId="0">
      <pane ySplit="2415" topLeftCell="A199" activePane="bottomLeft"/>
      <selection activeCell="I7" sqref="I7"/>
      <selection pane="bottomLeft" activeCell="J212" sqref="J212"/>
    </sheetView>
  </sheetViews>
  <sheetFormatPr defaultRowHeight="12.75"/>
  <cols>
    <col min="1" max="1" width="15" style="67" customWidth="1"/>
    <col min="2" max="2" width="13.5703125" style="67" customWidth="1"/>
    <col min="3" max="3" width="10.140625" style="67" customWidth="1"/>
    <col min="4" max="4" width="9.140625" style="67" customWidth="1"/>
    <col min="5" max="5" width="9.140625" style="67"/>
    <col min="6" max="6" width="13.5703125" style="67" bestFit="1" customWidth="1"/>
    <col min="7" max="7" width="12.85546875" style="67" bestFit="1" customWidth="1"/>
    <col min="8" max="8" width="15.7109375" style="67" customWidth="1"/>
    <col min="9" max="16384" width="9.140625" style="67"/>
  </cols>
  <sheetData>
    <row r="1" spans="1:8" ht="16.5" customHeight="1">
      <c r="B1" s="101"/>
      <c r="C1" s="101"/>
      <c r="D1" s="294" t="s">
        <v>251</v>
      </c>
      <c r="E1" s="294"/>
      <c r="F1" s="294"/>
      <c r="G1" s="294"/>
      <c r="H1" s="294"/>
    </row>
    <row r="2" spans="1:8" ht="17.25" customHeight="1">
      <c r="A2" s="101"/>
      <c r="B2" s="101"/>
      <c r="C2" s="101"/>
      <c r="D2" s="294"/>
      <c r="E2" s="294"/>
      <c r="F2" s="294"/>
      <c r="G2" s="294"/>
      <c r="H2" s="294"/>
    </row>
    <row r="3" spans="1:8" ht="21" customHeight="1" thickBot="1">
      <c r="A3" s="101"/>
      <c r="B3" s="101"/>
      <c r="C3" s="101"/>
      <c r="D3" s="306"/>
      <c r="E3" s="306"/>
      <c r="F3" s="306"/>
      <c r="G3" s="306"/>
      <c r="H3" s="306"/>
    </row>
    <row r="4" spans="1:8" s="62" customFormat="1" ht="19.5" thickBot="1">
      <c r="A4" s="307" t="s">
        <v>73</v>
      </c>
      <c r="B4" s="308"/>
      <c r="C4" s="309"/>
      <c r="D4" s="310" t="s">
        <v>61</v>
      </c>
      <c r="E4" s="311"/>
      <c r="F4" s="311"/>
      <c r="G4" s="311" t="s">
        <v>6</v>
      </c>
      <c r="H4" s="312"/>
    </row>
    <row r="5" spans="1:8" s="62" customFormat="1" ht="18" customHeight="1" thickBot="1">
      <c r="A5" s="313" t="s">
        <v>56</v>
      </c>
      <c r="B5" s="314"/>
      <c r="C5" s="315"/>
      <c r="D5" s="298" t="s">
        <v>57</v>
      </c>
      <c r="E5" s="299"/>
      <c r="F5" s="299"/>
      <c r="G5" s="300"/>
      <c r="H5" s="316" t="s">
        <v>58</v>
      </c>
    </row>
    <row r="6" spans="1:8" s="62" customFormat="1" ht="15.75" customHeight="1" thickBot="1">
      <c r="A6" s="126" t="s">
        <v>109</v>
      </c>
      <c r="B6" s="127" t="s">
        <v>111</v>
      </c>
      <c r="C6" s="127" t="s">
        <v>4</v>
      </c>
      <c r="D6" s="127" t="s">
        <v>14</v>
      </c>
      <c r="E6" s="127" t="s">
        <v>15</v>
      </c>
      <c r="F6" s="127" t="s">
        <v>16</v>
      </c>
      <c r="G6" s="127" t="s">
        <v>17</v>
      </c>
      <c r="H6" s="317"/>
    </row>
    <row r="7" spans="1:8" s="102" customFormat="1" ht="16.5" customHeight="1" thickBot="1">
      <c r="A7" s="140" t="s">
        <v>67</v>
      </c>
      <c r="B7" s="141"/>
      <c r="C7" s="141"/>
      <c r="D7" s="141"/>
      <c r="E7" s="141"/>
      <c r="F7" s="141"/>
      <c r="G7" s="141"/>
      <c r="H7" s="142"/>
    </row>
    <row r="8" spans="1:8" ht="15" hidden="1">
      <c r="A8" s="228" t="s">
        <v>113</v>
      </c>
      <c r="B8" s="229">
        <v>277.54000000000002</v>
      </c>
      <c r="C8" s="204">
        <f>100*B8/B$8</f>
        <v>100</v>
      </c>
      <c r="D8" s="204"/>
      <c r="E8" s="204"/>
      <c r="F8" s="204"/>
      <c r="G8" s="205"/>
      <c r="H8" s="206">
        <f>+B$211/B8</f>
        <v>2.0519421344671036</v>
      </c>
    </row>
    <row r="9" spans="1:8" ht="15" hidden="1">
      <c r="A9" s="230" t="s">
        <v>114</v>
      </c>
      <c r="B9" s="231">
        <v>257.2</v>
      </c>
      <c r="C9" s="207">
        <f t="shared" ref="C9:C41" si="0">100*B9/B$8</f>
        <v>92.671326655617207</v>
      </c>
      <c r="D9" s="207">
        <f t="shared" ref="D9:D26" si="1">100*(B9/B8-1)</f>
        <v>-7.3286733443828078</v>
      </c>
      <c r="E9" s="207"/>
      <c r="F9" s="207"/>
      <c r="G9" s="208"/>
      <c r="H9" s="209">
        <f>+B$211/B9</f>
        <v>2.214214696734059</v>
      </c>
    </row>
    <row r="10" spans="1:8" ht="15" hidden="1">
      <c r="A10" s="230" t="s">
        <v>115</v>
      </c>
      <c r="B10" s="231">
        <v>270.60000000000002</v>
      </c>
      <c r="C10" s="207">
        <f t="shared" si="0"/>
        <v>97.49945953736399</v>
      </c>
      <c r="D10" s="207">
        <f t="shared" si="1"/>
        <v>5.2099533437014234</v>
      </c>
      <c r="E10" s="207"/>
      <c r="F10" s="207"/>
      <c r="G10" s="208"/>
      <c r="H10" s="209">
        <f>+B$211/B10</f>
        <v>2.1045677014042865</v>
      </c>
    </row>
    <row r="11" spans="1:8" ht="15" hidden="1">
      <c r="A11" s="230" t="s">
        <v>116</v>
      </c>
      <c r="B11" s="231">
        <v>276.27</v>
      </c>
      <c r="C11" s="207">
        <f t="shared" si="0"/>
        <v>99.542408301506086</v>
      </c>
      <c r="D11" s="207">
        <f t="shared" si="1"/>
        <v>2.095343680709516</v>
      </c>
      <c r="E11" s="207">
        <f t="shared" ref="E11:E16" si="2">100*(B11/B$10-1)</f>
        <v>2.095343680709516</v>
      </c>
      <c r="F11" s="207"/>
      <c r="G11" s="208"/>
      <c r="H11" s="209">
        <f>+B$211/B11</f>
        <v>2.0613748144930684</v>
      </c>
    </row>
    <row r="12" spans="1:8" ht="15" hidden="1">
      <c r="A12" s="230" t="s">
        <v>117</v>
      </c>
      <c r="B12" s="231">
        <v>282.25</v>
      </c>
      <c r="C12" s="207">
        <f t="shared" si="0"/>
        <v>101.69705267709158</v>
      </c>
      <c r="D12" s="207">
        <f t="shared" si="1"/>
        <v>2.164549172910557</v>
      </c>
      <c r="E12" s="207">
        <f t="shared" si="2"/>
        <v>4.3052475979305171</v>
      </c>
      <c r="F12" s="210"/>
      <c r="G12" s="211"/>
      <c r="H12" s="209">
        <f>+B$211/B12</f>
        <v>2.017700690876882</v>
      </c>
    </row>
    <row r="13" spans="1:8" ht="15" hidden="1">
      <c r="A13" s="230" t="s">
        <v>118</v>
      </c>
      <c r="B13" s="231">
        <v>277.2</v>
      </c>
      <c r="C13" s="207">
        <f t="shared" si="0"/>
        <v>99.87749513583627</v>
      </c>
      <c r="D13" s="207">
        <f t="shared" si="1"/>
        <v>-1.789193976970771</v>
      </c>
      <c r="E13" s="207">
        <f t="shared" si="2"/>
        <v>2.4390243902438824</v>
      </c>
      <c r="F13" s="210"/>
      <c r="G13" s="211"/>
      <c r="H13" s="209">
        <f>+B$211/B13</f>
        <v>2.0544589466089462</v>
      </c>
    </row>
    <row r="14" spans="1:8" ht="15" hidden="1">
      <c r="A14" s="230" t="s">
        <v>119</v>
      </c>
      <c r="B14" s="231">
        <v>282.39999999999998</v>
      </c>
      <c r="C14" s="207">
        <f t="shared" si="0"/>
        <v>101.75109894069321</v>
      </c>
      <c r="D14" s="207">
        <f t="shared" si="1"/>
        <v>1.8759018759018753</v>
      </c>
      <c r="E14" s="207">
        <f t="shared" si="2"/>
        <v>4.3606799704360544</v>
      </c>
      <c r="F14" s="210"/>
      <c r="G14" s="211"/>
      <c r="H14" s="209">
        <f>+B$211/B14</f>
        <v>2.0166289660056655</v>
      </c>
    </row>
    <row r="15" spans="1:8" ht="15" hidden="1">
      <c r="A15" s="230" t="s">
        <v>120</v>
      </c>
      <c r="B15" s="231">
        <v>269.38</v>
      </c>
      <c r="C15" s="207">
        <f t="shared" si="0"/>
        <v>97.05988326007062</v>
      </c>
      <c r="D15" s="207">
        <f t="shared" si="1"/>
        <v>-4.6104815864022601</v>
      </c>
      <c r="E15" s="207">
        <f t="shared" si="2"/>
        <v>-0.45084996304509684</v>
      </c>
      <c r="F15" s="210"/>
      <c r="G15" s="211"/>
      <c r="H15" s="209">
        <f>+B$211/B15</f>
        <v>2.1140991164897169</v>
      </c>
    </row>
    <row r="16" spans="1:8" ht="15" hidden="1">
      <c r="A16" s="230" t="s">
        <v>121</v>
      </c>
      <c r="B16" s="231">
        <v>285.25</v>
      </c>
      <c r="C16" s="207">
        <f t="shared" si="0"/>
        <v>102.77797794912445</v>
      </c>
      <c r="D16" s="207">
        <f t="shared" si="1"/>
        <v>5.891305961838289</v>
      </c>
      <c r="E16" s="207">
        <f t="shared" si="2"/>
        <v>5.4138950480413728</v>
      </c>
      <c r="F16" s="210"/>
      <c r="G16" s="211"/>
      <c r="H16" s="209">
        <f>+B$211/B16</f>
        <v>1.9964803505696755</v>
      </c>
    </row>
    <row r="17" spans="1:8" ht="15" hidden="1">
      <c r="A17" s="230" t="s">
        <v>122</v>
      </c>
      <c r="B17" s="231">
        <v>299</v>
      </c>
      <c r="C17" s="207">
        <f t="shared" si="0"/>
        <v>107.73221877927506</v>
      </c>
      <c r="D17" s="207">
        <f t="shared" si="1"/>
        <v>4.8203330411919376</v>
      </c>
      <c r="E17" s="207">
        <f t="shared" ref="E17:E22" si="3">100*(B17/B$10-1)</f>
        <v>10.495195861049499</v>
      </c>
      <c r="F17" s="210"/>
      <c r="G17" s="211"/>
      <c r="H17" s="209">
        <f>+B$211/B17</f>
        <v>1.9046689632107021</v>
      </c>
    </row>
    <row r="18" spans="1:8" ht="15" hidden="1">
      <c r="A18" s="230" t="s">
        <v>123</v>
      </c>
      <c r="B18" s="231">
        <v>313.8</v>
      </c>
      <c r="C18" s="207">
        <f t="shared" si="0"/>
        <v>113.06478345463717</v>
      </c>
      <c r="D18" s="207">
        <f t="shared" si="1"/>
        <v>4.949832775919738</v>
      </c>
      <c r="E18" s="207">
        <f t="shared" si="3"/>
        <v>15.964523281596454</v>
      </c>
      <c r="F18" s="210"/>
      <c r="G18" s="211"/>
      <c r="H18" s="209">
        <f>+B$211/B18</f>
        <v>1.8148375398342891</v>
      </c>
    </row>
    <row r="19" spans="1:8" ht="15" hidden="1">
      <c r="A19" s="230" t="s">
        <v>124</v>
      </c>
      <c r="B19" s="231">
        <v>326.39999999999998</v>
      </c>
      <c r="C19" s="207">
        <f t="shared" si="0"/>
        <v>117.60466959717516</v>
      </c>
      <c r="D19" s="207">
        <f t="shared" si="1"/>
        <v>4.0152963671127972</v>
      </c>
      <c r="E19" s="207">
        <f t="shared" si="3"/>
        <v>20.62084257206207</v>
      </c>
      <c r="F19" s="210"/>
      <c r="G19" s="211"/>
      <c r="H19" s="209">
        <f>+B$211/B19</f>
        <v>1.7447794730392157</v>
      </c>
    </row>
    <row r="20" spans="1:8" ht="15" hidden="1">
      <c r="A20" s="230" t="s">
        <v>125</v>
      </c>
      <c r="B20" s="231">
        <v>321.60000000000002</v>
      </c>
      <c r="C20" s="207">
        <f t="shared" si="0"/>
        <v>115.87518916192261</v>
      </c>
      <c r="D20" s="207">
        <f t="shared" si="1"/>
        <v>-1.4705882352941013</v>
      </c>
      <c r="E20" s="207">
        <f t="shared" si="3"/>
        <v>18.847006651884701</v>
      </c>
      <c r="F20" s="210">
        <f>(100*(B20/B8-1))</f>
        <v>15.875189161922609</v>
      </c>
      <c r="G20" s="211"/>
      <c r="H20" s="209">
        <f>+B$211/B20</f>
        <v>1.7708209577114424</v>
      </c>
    </row>
    <row r="21" spans="1:8" ht="15" hidden="1">
      <c r="A21" s="230" t="s">
        <v>126</v>
      </c>
      <c r="B21" s="231">
        <v>320</v>
      </c>
      <c r="C21" s="207">
        <f t="shared" si="0"/>
        <v>115.29869568350507</v>
      </c>
      <c r="D21" s="207">
        <f t="shared" si="1"/>
        <v>-0.49751243781095411</v>
      </c>
      <c r="E21" s="207">
        <f t="shared" si="3"/>
        <v>18.255728011825557</v>
      </c>
      <c r="F21" s="210">
        <f t="shared" ref="F21:F32" si="4">(100*(B21/B9-1))</f>
        <v>24.41679626749611</v>
      </c>
      <c r="G21" s="211"/>
      <c r="H21" s="209">
        <f>+B$211/B21</f>
        <v>1.7796750624999997</v>
      </c>
    </row>
    <row r="22" spans="1:8" ht="15" hidden="1">
      <c r="A22" s="230" t="s">
        <v>127</v>
      </c>
      <c r="B22" s="231">
        <v>319.39999999999998</v>
      </c>
      <c r="C22" s="207">
        <f t="shared" si="0"/>
        <v>115.08251062909849</v>
      </c>
      <c r="D22" s="207">
        <f t="shared" si="1"/>
        <v>-0.18750000000000711</v>
      </c>
      <c r="E22" s="207">
        <f t="shared" si="3"/>
        <v>18.033998521803383</v>
      </c>
      <c r="F22" s="210">
        <f t="shared" si="4"/>
        <v>18.033998521803383</v>
      </c>
      <c r="G22" s="211"/>
      <c r="H22" s="209">
        <f>+B$211/B22</f>
        <v>1.783018221665623</v>
      </c>
    </row>
    <row r="23" spans="1:8" ht="15" hidden="1">
      <c r="A23" s="230" t="s">
        <v>128</v>
      </c>
      <c r="B23" s="231">
        <v>328.38</v>
      </c>
      <c r="C23" s="207">
        <f t="shared" si="0"/>
        <v>118.31808027671686</v>
      </c>
      <c r="D23" s="207">
        <f t="shared" si="1"/>
        <v>2.81152160300564</v>
      </c>
      <c r="E23" s="207">
        <f t="shared" ref="E23:E29" si="5">100*(B23/B$22-1)</f>
        <v>2.81152160300564</v>
      </c>
      <c r="F23" s="210">
        <f t="shared" si="4"/>
        <v>18.861982842871107</v>
      </c>
      <c r="G23" s="211"/>
      <c r="H23" s="209">
        <f>+B$211/B23</f>
        <v>1.7342591509836163</v>
      </c>
    </row>
    <row r="24" spans="1:8" ht="15" hidden="1">
      <c r="A24" s="230" t="s">
        <v>129</v>
      </c>
      <c r="B24" s="231">
        <v>337.6</v>
      </c>
      <c r="C24" s="207">
        <f t="shared" si="0"/>
        <v>121.64012394609784</v>
      </c>
      <c r="D24" s="207">
        <f t="shared" si="1"/>
        <v>2.8077227602168353</v>
      </c>
      <c r="E24" s="207">
        <f t="shared" si="5"/>
        <v>5.6981840951784823</v>
      </c>
      <c r="F24" s="210">
        <f t="shared" si="4"/>
        <v>19.610274579273714</v>
      </c>
      <c r="G24" s="211"/>
      <c r="H24" s="209">
        <f>+B$211/B24</f>
        <v>1.6868957938388622</v>
      </c>
    </row>
    <row r="25" spans="1:8" ht="15" hidden="1">
      <c r="A25" s="230" t="s">
        <v>130</v>
      </c>
      <c r="B25" s="231">
        <v>328.92</v>
      </c>
      <c r="C25" s="207">
        <f t="shared" si="0"/>
        <v>118.51264682568278</v>
      </c>
      <c r="D25" s="207">
        <f t="shared" si="1"/>
        <v>-2.5710900473933651</v>
      </c>
      <c r="E25" s="207">
        <f t="shared" si="5"/>
        <v>2.9805886036318174</v>
      </c>
      <c r="F25" s="210">
        <f t="shared" si="4"/>
        <v>18.658008658008661</v>
      </c>
      <c r="G25" s="211"/>
      <c r="H25" s="209">
        <f>+B$211/B25</f>
        <v>1.7314119542745954</v>
      </c>
    </row>
    <row r="26" spans="1:8" ht="15" hidden="1">
      <c r="A26" s="230" t="s">
        <v>131</v>
      </c>
      <c r="B26" s="231">
        <v>335.94</v>
      </c>
      <c r="C26" s="207">
        <f t="shared" si="0"/>
        <v>121.04201196223967</v>
      </c>
      <c r="D26" s="207">
        <f t="shared" si="1"/>
        <v>2.1342575702298472</v>
      </c>
      <c r="E26" s="207">
        <f t="shared" si="5"/>
        <v>5.1784596117720794</v>
      </c>
      <c r="F26" s="210">
        <f t="shared" si="4"/>
        <v>18.958923512747884</v>
      </c>
      <c r="G26" s="211"/>
      <c r="H26" s="209">
        <f>+B$211/B26</f>
        <v>1.6952313508364587</v>
      </c>
    </row>
    <row r="27" spans="1:8" ht="15" hidden="1">
      <c r="A27" s="230" t="s">
        <v>132</v>
      </c>
      <c r="B27" s="231">
        <v>326.64</v>
      </c>
      <c r="C27" s="207">
        <f t="shared" si="0"/>
        <v>117.6911436189378</v>
      </c>
      <c r="D27" s="207">
        <f t="shared" ref="D27:D32" si="6">100*(B27/B26-1)</f>
        <v>-2.7683514913377394</v>
      </c>
      <c r="E27" s="207">
        <f t="shared" si="5"/>
        <v>2.2667501565435177</v>
      </c>
      <c r="F27" s="210">
        <f t="shared" si="4"/>
        <v>21.256217982032808</v>
      </c>
      <c r="G27" s="211"/>
      <c r="H27" s="209">
        <f>+B$211/B27</f>
        <v>1.7434974895909869</v>
      </c>
    </row>
    <row r="28" spans="1:8" ht="15" hidden="1">
      <c r="A28" s="230" t="s">
        <v>133</v>
      </c>
      <c r="B28" s="231">
        <v>330.43</v>
      </c>
      <c r="C28" s="207">
        <f t="shared" si="0"/>
        <v>119.05671254593932</v>
      </c>
      <c r="D28" s="207">
        <f t="shared" si="6"/>
        <v>1.1602987999020486</v>
      </c>
      <c r="E28" s="207">
        <f t="shared" si="5"/>
        <v>3.4533500313087107</v>
      </c>
      <c r="F28" s="210">
        <f t="shared" si="4"/>
        <v>15.838737949167392</v>
      </c>
      <c r="G28" s="211"/>
      <c r="H28" s="209">
        <f>+B$211/B28</f>
        <v>1.7234997427594345</v>
      </c>
    </row>
    <row r="29" spans="1:8" ht="15" hidden="1">
      <c r="A29" s="230" t="s">
        <v>134</v>
      </c>
      <c r="B29" s="231">
        <v>342</v>
      </c>
      <c r="C29" s="207">
        <f t="shared" si="0"/>
        <v>123.22548101174604</v>
      </c>
      <c r="D29" s="207">
        <f t="shared" si="6"/>
        <v>3.501498047998064</v>
      </c>
      <c r="E29" s="207">
        <f t="shared" si="5"/>
        <v>7.0757670632435987</v>
      </c>
      <c r="F29" s="210">
        <f t="shared" si="4"/>
        <v>14.381270903010023</v>
      </c>
      <c r="G29" s="211"/>
      <c r="H29" s="209">
        <f>+B$211/B29</f>
        <v>1.6651930409356723</v>
      </c>
    </row>
    <row r="30" spans="1:8" ht="15" hidden="1">
      <c r="A30" s="230" t="s">
        <v>135</v>
      </c>
      <c r="B30" s="231">
        <v>312.58</v>
      </c>
      <c r="C30" s="207">
        <f t="shared" si="0"/>
        <v>112.6252071773438</v>
      </c>
      <c r="D30" s="207">
        <f t="shared" si="6"/>
        <v>-8.6023391812865562</v>
      </c>
      <c r="E30" s="207">
        <f>100*(B30/B$22-1)</f>
        <v>-2.1352536005009415</v>
      </c>
      <c r="F30" s="210">
        <f t="shared" si="4"/>
        <v>-0.38878266411728202</v>
      </c>
      <c r="G30" s="211"/>
      <c r="H30" s="209">
        <f>+B$211/B30</f>
        <v>1.8219208522618209</v>
      </c>
    </row>
    <row r="31" spans="1:8" ht="15" hidden="1">
      <c r="A31" s="230" t="s">
        <v>136</v>
      </c>
      <c r="B31" s="231">
        <v>326.38</v>
      </c>
      <c r="C31" s="207">
        <f t="shared" si="0"/>
        <v>117.59746342869495</v>
      </c>
      <c r="D31" s="207">
        <f t="shared" si="6"/>
        <v>4.4148697933329206</v>
      </c>
      <c r="E31" s="207">
        <f>100*(B31/B$22-1)</f>
        <v>2.1853475266124134</v>
      </c>
      <c r="F31" s="210">
        <f t="shared" si="4"/>
        <v>-6.127450980386584E-3</v>
      </c>
      <c r="G31" s="211"/>
      <c r="H31" s="209">
        <f>+B$211/B31</f>
        <v>1.7448863900974323</v>
      </c>
    </row>
    <row r="32" spans="1:8" ht="15" hidden="1">
      <c r="A32" s="230" t="s">
        <v>137</v>
      </c>
      <c r="B32" s="231">
        <v>338.42</v>
      </c>
      <c r="C32" s="207">
        <f t="shared" si="0"/>
        <v>121.93557685378683</v>
      </c>
      <c r="D32" s="207">
        <f t="shared" si="6"/>
        <v>3.6889515288927033</v>
      </c>
      <c r="E32" s="207">
        <f>100*(B32/B$22-1)</f>
        <v>5.9549154664996884</v>
      </c>
      <c r="F32" s="210">
        <f t="shared" si="4"/>
        <v>5.2300995024875618</v>
      </c>
      <c r="G32" s="211">
        <f t="shared" ref="G32:G37" si="7">100*(B32/B8-1)</f>
        <v>21.935576853786841</v>
      </c>
      <c r="H32" s="209">
        <f>+B$211/B32</f>
        <v>1.6828084037586428</v>
      </c>
    </row>
    <row r="33" spans="1:8" ht="15" hidden="1">
      <c r="A33" s="230" t="s">
        <v>138</v>
      </c>
      <c r="B33" s="231">
        <v>347.5</v>
      </c>
      <c r="C33" s="207">
        <f t="shared" si="0"/>
        <v>125.20717734380629</v>
      </c>
      <c r="D33" s="207">
        <f t="shared" ref="D33:D38" si="8">100*(B33/B32-1)</f>
        <v>2.6830565569410769</v>
      </c>
      <c r="E33" s="207">
        <f>100*(B33/B$22-1)</f>
        <v>8.7977457733249942</v>
      </c>
      <c r="F33" s="210">
        <f t="shared" ref="F33:F38" si="9">(100*(B33/B21-1))</f>
        <v>8.59375</v>
      </c>
      <c r="G33" s="211">
        <f t="shared" si="7"/>
        <v>35.108864696734067</v>
      </c>
      <c r="H33" s="209">
        <f>+B$211/B33</f>
        <v>1.638837467625899</v>
      </c>
    </row>
    <row r="34" spans="1:8" ht="15" hidden="1">
      <c r="A34" s="230" t="s">
        <v>139</v>
      </c>
      <c r="B34" s="231">
        <v>333.5</v>
      </c>
      <c r="C34" s="207">
        <f t="shared" si="0"/>
        <v>120.16285940765295</v>
      </c>
      <c r="D34" s="207">
        <f t="shared" si="8"/>
        <v>-4.0287769784172696</v>
      </c>
      <c r="E34" s="207">
        <f>100*(B34/B$22-1)</f>
        <v>4.4145272385723411</v>
      </c>
      <c r="F34" s="210">
        <f t="shared" si="9"/>
        <v>4.4145272385723411</v>
      </c>
      <c r="G34" s="211">
        <f t="shared" si="7"/>
        <v>23.244641537324462</v>
      </c>
      <c r="H34" s="209">
        <f>+B$211/B34</f>
        <v>1.7076342428785605</v>
      </c>
    </row>
    <row r="35" spans="1:8" ht="15" hidden="1">
      <c r="A35" s="230" t="s">
        <v>140</v>
      </c>
      <c r="B35" s="231">
        <v>318.83</v>
      </c>
      <c r="C35" s="207">
        <f t="shared" si="0"/>
        <v>114.87713482741226</v>
      </c>
      <c r="D35" s="207">
        <f t="shared" si="8"/>
        <v>-4.3988005997001594</v>
      </c>
      <c r="E35" s="207">
        <f t="shared" ref="E35:E40" si="10">100*(B35/B$34-1)</f>
        <v>-4.3988005997001594</v>
      </c>
      <c r="F35" s="210">
        <f t="shared" si="9"/>
        <v>-2.9082160911139576</v>
      </c>
      <c r="G35" s="211">
        <f t="shared" si="7"/>
        <v>15.40521953161762</v>
      </c>
      <c r="H35" s="209">
        <f>+B$211/B35</f>
        <v>1.7862058777404886</v>
      </c>
    </row>
    <row r="36" spans="1:8" ht="15" hidden="1">
      <c r="A36" s="230" t="s">
        <v>141</v>
      </c>
      <c r="B36" s="231">
        <v>322.5</v>
      </c>
      <c r="C36" s="207">
        <f t="shared" si="0"/>
        <v>116.19946674353245</v>
      </c>
      <c r="D36" s="207">
        <f t="shared" si="8"/>
        <v>1.1510836495938426</v>
      </c>
      <c r="E36" s="207">
        <f t="shared" si="10"/>
        <v>-3.2983508245877036</v>
      </c>
      <c r="F36" s="210">
        <f t="shared" si="9"/>
        <v>-4.4727488151658834</v>
      </c>
      <c r="G36" s="211">
        <f t="shared" si="7"/>
        <v>14.260407440212575</v>
      </c>
      <c r="H36" s="209">
        <f>+B$211/B36</f>
        <v>1.7658791317829454</v>
      </c>
    </row>
    <row r="37" spans="1:8" ht="15" hidden="1">
      <c r="A37" s="230" t="s">
        <v>142</v>
      </c>
      <c r="B37" s="231">
        <v>312.14</v>
      </c>
      <c r="C37" s="207">
        <f t="shared" si="0"/>
        <v>112.46667147077898</v>
      </c>
      <c r="D37" s="207">
        <f t="shared" si="8"/>
        <v>-3.2124031007751963</v>
      </c>
      <c r="E37" s="207">
        <f t="shared" si="10"/>
        <v>-6.4047976011994079</v>
      </c>
      <c r="F37" s="210">
        <f t="shared" si="9"/>
        <v>-5.1015444484981192</v>
      </c>
      <c r="G37" s="211">
        <f t="shared" si="7"/>
        <v>12.604617604617596</v>
      </c>
      <c r="H37" s="209">
        <f>+B$211/B37</f>
        <v>1.8244890754148777</v>
      </c>
    </row>
    <row r="38" spans="1:8" ht="15" hidden="1">
      <c r="A38" s="230" t="s">
        <v>143</v>
      </c>
      <c r="B38" s="231">
        <v>327</v>
      </c>
      <c r="C38" s="207">
        <f t="shared" si="0"/>
        <v>117.82085465158174</v>
      </c>
      <c r="D38" s="207">
        <f t="shared" si="8"/>
        <v>4.7606843083231931</v>
      </c>
      <c r="E38" s="207">
        <f t="shared" si="10"/>
        <v>-1.9490254872563728</v>
      </c>
      <c r="F38" s="210">
        <f t="shared" si="9"/>
        <v>-2.6611894981246609</v>
      </c>
      <c r="G38" s="211">
        <f t="shared" ref="G38:G43" si="11">100*(B38/B14-1)</f>
        <v>15.793201133144485</v>
      </c>
      <c r="H38" s="209">
        <f>+B$211/B38</f>
        <v>1.7415780428134555</v>
      </c>
    </row>
    <row r="39" spans="1:8" ht="15" hidden="1">
      <c r="A39" s="230" t="s">
        <v>144</v>
      </c>
      <c r="B39" s="231">
        <v>322.5</v>
      </c>
      <c r="C39" s="207">
        <f t="shared" si="0"/>
        <v>116.19946674353245</v>
      </c>
      <c r="D39" s="207">
        <f t="shared" ref="D39:D44" si="12">100*(B39/B38-1)</f>
        <v>-1.3761467889908285</v>
      </c>
      <c r="E39" s="207">
        <f t="shared" si="10"/>
        <v>-3.2983508245877036</v>
      </c>
      <c r="F39" s="210">
        <f t="shared" ref="F39:F44" si="13">(100*(B39/B27-1))</f>
        <v>-1.2674504041146228</v>
      </c>
      <c r="G39" s="211">
        <f t="shared" si="11"/>
        <v>19.719355557205432</v>
      </c>
      <c r="H39" s="209">
        <f>+B$211/B39</f>
        <v>1.7658791317829454</v>
      </c>
    </row>
    <row r="40" spans="1:8" ht="15" hidden="1">
      <c r="A40" s="230" t="s">
        <v>145</v>
      </c>
      <c r="B40" s="231">
        <v>316</v>
      </c>
      <c r="C40" s="207">
        <f t="shared" si="0"/>
        <v>113.85746198746126</v>
      </c>
      <c r="D40" s="207">
        <f t="shared" si="12"/>
        <v>-2.0155038759689936</v>
      </c>
      <c r="E40" s="207">
        <f t="shared" si="10"/>
        <v>-5.2473763118440768</v>
      </c>
      <c r="F40" s="210">
        <f t="shared" si="13"/>
        <v>-4.3670368913234281</v>
      </c>
      <c r="G40" s="211">
        <f t="shared" si="11"/>
        <v>10.780017528483787</v>
      </c>
      <c r="H40" s="209">
        <f>+B$211/B40</f>
        <v>1.8022025949367086</v>
      </c>
    </row>
    <row r="41" spans="1:8" ht="15" hidden="1">
      <c r="A41" s="230" t="s">
        <v>146</v>
      </c>
      <c r="B41" s="231">
        <v>307.8</v>
      </c>
      <c r="C41" s="207">
        <f t="shared" si="0"/>
        <v>110.90293291057144</v>
      </c>
      <c r="D41" s="207">
        <f t="shared" si="12"/>
        <v>-2.5949367088607511</v>
      </c>
      <c r="E41" s="207">
        <f t="shared" ref="E41:E46" si="14">100*(B41/B$34-1)</f>
        <v>-7.7061469265367277</v>
      </c>
      <c r="F41" s="210">
        <f t="shared" si="13"/>
        <v>-9.9999999999999982</v>
      </c>
      <c r="G41" s="211">
        <f t="shared" si="11"/>
        <v>2.943143812709037</v>
      </c>
      <c r="H41" s="209">
        <f>+B$211/B41</f>
        <v>1.8502144899285247</v>
      </c>
    </row>
    <row r="42" spans="1:8" ht="15" hidden="1">
      <c r="A42" s="230" t="s">
        <v>147</v>
      </c>
      <c r="B42" s="231">
        <v>321.83</v>
      </c>
      <c r="C42" s="207">
        <f t="shared" ref="C42:C106" si="15">100*B42/B$8</f>
        <v>115.95806009944512</v>
      </c>
      <c r="D42" s="207">
        <f t="shared" si="12"/>
        <v>4.5581546458739242</v>
      </c>
      <c r="E42" s="207">
        <f t="shared" si="14"/>
        <v>-3.4992503748126014</v>
      </c>
      <c r="F42" s="210">
        <f t="shared" si="13"/>
        <v>2.9592424339369039</v>
      </c>
      <c r="G42" s="211">
        <f t="shared" si="11"/>
        <v>2.5589547482472774</v>
      </c>
      <c r="H42" s="209">
        <f>+B$211/B42</f>
        <v>1.769555417456421</v>
      </c>
    </row>
    <row r="43" spans="1:8" ht="15" hidden="1">
      <c r="A43" s="230" t="s">
        <v>148</v>
      </c>
      <c r="B43" s="231">
        <v>307.17</v>
      </c>
      <c r="C43" s="207">
        <f t="shared" si="15"/>
        <v>110.67593860344454</v>
      </c>
      <c r="D43" s="212">
        <f t="shared" si="12"/>
        <v>-4.5551999502843055</v>
      </c>
      <c r="E43" s="212">
        <f t="shared" si="14"/>
        <v>-7.8950524737631085</v>
      </c>
      <c r="F43" s="213">
        <f t="shared" si="13"/>
        <v>-5.8857773147864449</v>
      </c>
      <c r="G43" s="211">
        <f t="shared" si="11"/>
        <v>-5.8915441176470518</v>
      </c>
      <c r="H43" s="209">
        <f>+B$211/B43</f>
        <v>1.8540092456945663</v>
      </c>
    </row>
    <row r="44" spans="1:8" ht="15" hidden="1">
      <c r="A44" s="230" t="s">
        <v>149</v>
      </c>
      <c r="B44" s="231">
        <v>315</v>
      </c>
      <c r="C44" s="207">
        <f t="shared" si="15"/>
        <v>113.49715356345031</v>
      </c>
      <c r="D44" s="212">
        <f t="shared" si="12"/>
        <v>2.5490770583064704</v>
      </c>
      <c r="E44" s="212">
        <f t="shared" si="14"/>
        <v>-5.5472263868065923</v>
      </c>
      <c r="F44" s="213">
        <f t="shared" si="13"/>
        <v>-6.9203947757224826</v>
      </c>
      <c r="G44" s="211">
        <f t="shared" ref="G44:G49" si="16">100*(B44/B20-1)</f>
        <v>-2.0522388059701524</v>
      </c>
      <c r="H44" s="209">
        <f>+B$211/B44</f>
        <v>1.8079238730158729</v>
      </c>
    </row>
    <row r="45" spans="1:8" ht="15" hidden="1">
      <c r="A45" s="230" t="s">
        <v>150</v>
      </c>
      <c r="B45" s="231">
        <v>329.4</v>
      </c>
      <c r="C45" s="207">
        <f t="shared" si="15"/>
        <v>118.68559486920803</v>
      </c>
      <c r="D45" s="212">
        <f t="shared" ref="D45:D50" si="17">100*(B45/B44-1)</f>
        <v>4.5714285714285596</v>
      </c>
      <c r="E45" s="212">
        <f t="shared" si="14"/>
        <v>-1.2293853073463312</v>
      </c>
      <c r="F45" s="213">
        <f t="shared" ref="F45:F50" si="18">(100*(B45/B33-1))</f>
        <v>-5.208633093525183</v>
      </c>
      <c r="G45" s="211">
        <f t="shared" si="16"/>
        <v>2.9374999999999929</v>
      </c>
      <c r="H45" s="209">
        <f>+B$211/B45</f>
        <v>1.728888949605343</v>
      </c>
    </row>
    <row r="46" spans="1:8" ht="15" hidden="1">
      <c r="A46" s="230" t="s">
        <v>151</v>
      </c>
      <c r="B46" s="231">
        <v>309.14</v>
      </c>
      <c r="C46" s="207">
        <f t="shared" si="15"/>
        <v>111.38574619874612</v>
      </c>
      <c r="D46" s="212">
        <f t="shared" si="17"/>
        <v>-6.1505768063145112</v>
      </c>
      <c r="E46" s="212">
        <f t="shared" si="14"/>
        <v>-7.3043478260869659</v>
      </c>
      <c r="F46" s="213">
        <f t="shared" si="18"/>
        <v>-7.3043478260869659</v>
      </c>
      <c r="G46" s="211">
        <f t="shared" si="16"/>
        <v>-3.2122730118973042</v>
      </c>
      <c r="H46" s="209">
        <f>+B$211/B46</f>
        <v>1.8421945396907549</v>
      </c>
    </row>
    <row r="47" spans="1:8" ht="15" hidden="1">
      <c r="A47" s="230" t="s">
        <v>152</v>
      </c>
      <c r="B47" s="238">
        <v>348.86</v>
      </c>
      <c r="C47" s="239">
        <f t="shared" si="15"/>
        <v>125.69719680046119</v>
      </c>
      <c r="D47" s="240">
        <f t="shared" si="17"/>
        <v>12.848547583619085</v>
      </c>
      <c r="E47" s="240">
        <f t="shared" ref="E47:E52" si="19">100*(B47/B$46-1)</f>
        <v>12.848547583619085</v>
      </c>
      <c r="F47" s="241">
        <f t="shared" si="18"/>
        <v>9.4188125333249708</v>
      </c>
      <c r="G47" s="242">
        <f t="shared" si="16"/>
        <v>6.2366770205250166</v>
      </c>
      <c r="H47" s="209">
        <f>+B$211/B47</f>
        <v>1.6324486040245367</v>
      </c>
    </row>
    <row r="48" spans="1:8" ht="15" hidden="1">
      <c r="A48" s="230" t="s">
        <v>153</v>
      </c>
      <c r="B48" s="231">
        <v>328.83</v>
      </c>
      <c r="C48" s="207">
        <f t="shared" si="15"/>
        <v>118.48021906752179</v>
      </c>
      <c r="D48" s="212">
        <f t="shared" si="17"/>
        <v>-5.7415582181964187</v>
      </c>
      <c r="E48" s="212">
        <f t="shared" si="19"/>
        <v>6.3692825257165131</v>
      </c>
      <c r="F48" s="213">
        <f t="shared" si="18"/>
        <v>1.9627906976744214</v>
      </c>
      <c r="G48" s="211">
        <f t="shared" si="16"/>
        <v>-2.5977488151658901</v>
      </c>
      <c r="H48" s="209">
        <f>+B$211/B48</f>
        <v>1.7318858376668793</v>
      </c>
    </row>
    <row r="49" spans="1:8" ht="15" hidden="1">
      <c r="A49" s="230" t="s">
        <v>154</v>
      </c>
      <c r="B49" s="231">
        <v>334.43</v>
      </c>
      <c r="C49" s="245">
        <f t="shared" si="15"/>
        <v>120.49794624198313</v>
      </c>
      <c r="D49" s="246">
        <f t="shared" si="17"/>
        <v>1.7030076331234989</v>
      </c>
      <c r="E49" s="212">
        <f t="shared" si="19"/>
        <v>8.1807595264281616</v>
      </c>
      <c r="F49" s="247">
        <f t="shared" si="18"/>
        <v>7.1410264624847786</v>
      </c>
      <c r="G49" s="211">
        <f t="shared" si="16"/>
        <v>1.6751793749239852</v>
      </c>
      <c r="H49" s="209">
        <f>+B$211/B49</f>
        <v>1.7028855664862599</v>
      </c>
    </row>
    <row r="50" spans="1:8" ht="15" hidden="1">
      <c r="A50" s="230" t="s">
        <v>155</v>
      </c>
      <c r="B50" s="231">
        <v>325.70999999999998</v>
      </c>
      <c r="C50" s="207">
        <f t="shared" si="15"/>
        <v>117.3560567846076</v>
      </c>
      <c r="D50" s="212">
        <f t="shared" si="17"/>
        <v>-2.6074215829919645</v>
      </c>
      <c r="E50" s="212">
        <f t="shared" si="19"/>
        <v>5.3600310538914453</v>
      </c>
      <c r="F50" s="213">
        <f t="shared" si="18"/>
        <v>-0.39449541284404255</v>
      </c>
      <c r="G50" s="211">
        <f t="shared" ref="G50:G77" si="20">100*(B50/B26-1)</f>
        <v>-3.04518664047152</v>
      </c>
      <c r="H50" s="209">
        <f>+B$211/B50</f>
        <v>1.7484756992416566</v>
      </c>
    </row>
    <row r="51" spans="1:8" ht="15" hidden="1">
      <c r="A51" s="230" t="s">
        <v>156</v>
      </c>
      <c r="B51" s="238">
        <v>346.6</v>
      </c>
      <c r="C51" s="239">
        <f t="shared" si="15"/>
        <v>124.88289976219643</v>
      </c>
      <c r="D51" s="240">
        <f>100*(B51/B50-1)</f>
        <v>6.4136808817659929</v>
      </c>
      <c r="E51" s="240">
        <f t="shared" si="19"/>
        <v>12.117487222617607</v>
      </c>
      <c r="F51" s="241">
        <f t="shared" ref="F51:F64" si="21">(100*(B51/B39-1))</f>
        <v>7.4728682170542626</v>
      </c>
      <c r="G51" s="242">
        <f t="shared" si="20"/>
        <v>6.1107029145236469</v>
      </c>
      <c r="H51" s="209">
        <f>+B$211/B51</f>
        <v>1.6430929601846507</v>
      </c>
    </row>
    <row r="52" spans="1:8" ht="15" hidden="1">
      <c r="A52" s="230" t="s">
        <v>157</v>
      </c>
      <c r="B52" s="231">
        <v>330.33333333333331</v>
      </c>
      <c r="C52" s="207">
        <f t="shared" si="15"/>
        <v>119.02188273161823</v>
      </c>
      <c r="D52" s="212">
        <f>100*(B52/B51-1)</f>
        <v>-4.6932102327370773</v>
      </c>
      <c r="E52" s="212">
        <f t="shared" si="19"/>
        <v>6.855577839598026</v>
      </c>
      <c r="F52" s="213">
        <f t="shared" si="21"/>
        <v>4.5358649789029482</v>
      </c>
      <c r="G52" s="211">
        <f t="shared" si="20"/>
        <v>-2.9254809389789305E-2</v>
      </c>
      <c r="H52" s="209">
        <f>+B$211/B52</f>
        <v>1.7240040968718464</v>
      </c>
    </row>
    <row r="53" spans="1:8" ht="15" hidden="1">
      <c r="A53" s="230" t="s">
        <v>158</v>
      </c>
      <c r="B53" s="231">
        <v>294.25</v>
      </c>
      <c r="C53" s="207">
        <f t="shared" si="15"/>
        <v>106.02075376522302</v>
      </c>
      <c r="D53" s="212">
        <f>100*(B53/B52-1)</f>
        <v>-10.923309788092828</v>
      </c>
      <c r="E53" s="212">
        <f t="shared" ref="E53:E58" si="22">100*(B53/B$46-1)</f>
        <v>-4.8165879536779421</v>
      </c>
      <c r="F53" s="213">
        <f t="shared" si="21"/>
        <v>-4.402209226770637</v>
      </c>
      <c r="G53" s="211">
        <f t="shared" si="20"/>
        <v>-13.961988304093564</v>
      </c>
      <c r="H53" s="209">
        <f>+B$211/B53</f>
        <v>1.9354155310110448</v>
      </c>
    </row>
    <row r="54" spans="1:8" ht="15" hidden="1">
      <c r="A54" s="230" t="s">
        <v>159</v>
      </c>
      <c r="B54" s="231">
        <v>304.60000000000002</v>
      </c>
      <c r="C54" s="207">
        <f t="shared" si="15"/>
        <v>109.7499459537364</v>
      </c>
      <c r="D54" s="212">
        <f t="shared" ref="D54:D59" si="23">100*(B54/B53-1)</f>
        <v>3.5174171622769812</v>
      </c>
      <c r="E54" s="212">
        <f t="shared" si="22"/>
        <v>-1.468590282719795</v>
      </c>
      <c r="F54" s="213">
        <f t="shared" si="21"/>
        <v>-5.353758195320502</v>
      </c>
      <c r="G54" s="211">
        <f t="shared" si="20"/>
        <v>-2.5529464457098805</v>
      </c>
      <c r="H54" s="209">
        <f>+B$211/B54</f>
        <v>1.8696520682862767</v>
      </c>
    </row>
    <row r="55" spans="1:8" ht="15" hidden="1">
      <c r="A55" s="230" t="s">
        <v>160</v>
      </c>
      <c r="B55" s="231">
        <v>311</v>
      </c>
      <c r="C55" s="207">
        <f t="shared" si="15"/>
        <v>112.05591986740649</v>
      </c>
      <c r="D55" s="212">
        <f t="shared" si="23"/>
        <v>2.1011162179908061</v>
      </c>
      <c r="E55" s="212">
        <f t="shared" si="22"/>
        <v>0.60166914666495153</v>
      </c>
      <c r="F55" s="213">
        <f t="shared" si="21"/>
        <v>1.2468665559787651</v>
      </c>
      <c r="G55" s="211">
        <f t="shared" si="20"/>
        <v>-4.7122985477051298</v>
      </c>
      <c r="H55" s="209">
        <f>+B$211/B55</f>
        <v>1.8311769131832796</v>
      </c>
    </row>
    <row r="56" spans="1:8" ht="15" hidden="1">
      <c r="A56" s="230" t="s">
        <v>161</v>
      </c>
      <c r="B56" s="231">
        <v>312</v>
      </c>
      <c r="C56" s="207">
        <f t="shared" si="15"/>
        <v>112.41622829141744</v>
      </c>
      <c r="D56" s="212">
        <f t="shared" si="23"/>
        <v>0.3215434083601254</v>
      </c>
      <c r="E56" s="212">
        <f t="shared" si="22"/>
        <v>0.925147182506314</v>
      </c>
      <c r="F56" s="213">
        <f t="shared" si="21"/>
        <v>-0.952380952380949</v>
      </c>
      <c r="G56" s="211">
        <f t="shared" si="20"/>
        <v>-7.8068672064298799</v>
      </c>
      <c r="H56" s="209">
        <f>+B$211/B56</f>
        <v>1.8253077564102562</v>
      </c>
    </row>
    <row r="57" spans="1:8" ht="15" hidden="1">
      <c r="A57" s="230" t="s">
        <v>162</v>
      </c>
      <c r="B57" s="231">
        <v>318</v>
      </c>
      <c r="C57" s="207">
        <f t="shared" si="15"/>
        <v>114.57807883548317</v>
      </c>
      <c r="D57" s="212">
        <f t="shared" si="23"/>
        <v>1.9230769230769162</v>
      </c>
      <c r="E57" s="212">
        <f t="shared" si="22"/>
        <v>2.8660153975545111</v>
      </c>
      <c r="F57" s="213">
        <f t="shared" si="21"/>
        <v>-3.4608378870673917</v>
      </c>
      <c r="G57" s="211">
        <f t="shared" si="20"/>
        <v>-8.4892086330935257</v>
      </c>
      <c r="H57" s="209">
        <f>+B$211/B57</f>
        <v>1.7908679874213835</v>
      </c>
    </row>
    <row r="58" spans="1:8" ht="15" hidden="1">
      <c r="A58" s="230" t="s">
        <v>163</v>
      </c>
      <c r="B58" s="231">
        <v>314</v>
      </c>
      <c r="C58" s="207">
        <f t="shared" si="15"/>
        <v>113.13684513943936</v>
      </c>
      <c r="D58" s="212">
        <f t="shared" si="23"/>
        <v>-1.2578616352201255</v>
      </c>
      <c r="E58" s="212">
        <f t="shared" si="22"/>
        <v>1.572103254189039</v>
      </c>
      <c r="F58" s="213">
        <f t="shared" si="21"/>
        <v>1.572103254189039</v>
      </c>
      <c r="G58" s="211">
        <f t="shared" si="20"/>
        <v>-5.8470764617691184</v>
      </c>
      <c r="H58" s="209">
        <f>+B$211/B58</f>
        <v>1.8136815923566876</v>
      </c>
    </row>
    <row r="59" spans="1:8" ht="15" hidden="1">
      <c r="A59" s="230" t="s">
        <v>164</v>
      </c>
      <c r="B59" s="231">
        <f>[105]RECAPAGEM!$D$29</f>
        <v>324.60000000000002</v>
      </c>
      <c r="C59" s="207">
        <f t="shared" si="15"/>
        <v>116.95611443395548</v>
      </c>
      <c r="D59" s="212">
        <f t="shared" si="23"/>
        <v>3.3757961783439594</v>
      </c>
      <c r="E59" s="212">
        <f t="shared" ref="E59:E64" si="24">100*(B59/B$58-1)</f>
        <v>3.3757961783439594</v>
      </c>
      <c r="F59" s="213">
        <f t="shared" si="21"/>
        <v>-6.954079000171987</v>
      </c>
      <c r="G59" s="211">
        <f t="shared" si="20"/>
        <v>1.8097418687074818</v>
      </c>
      <c r="H59" s="209">
        <f>+B$211/B59</f>
        <v>1.7544547751078248</v>
      </c>
    </row>
    <row r="60" spans="1:8" ht="15" hidden="1">
      <c r="A60" s="230" t="s">
        <v>165</v>
      </c>
      <c r="B60" s="231">
        <f>[106]RECAPAGEM!$D$29</f>
        <v>317</v>
      </c>
      <c r="C60" s="207">
        <f t="shared" si="15"/>
        <v>114.21777041147222</v>
      </c>
      <c r="D60" s="212">
        <f t="shared" ref="D60:D65" si="25">100*(B60/B59-1)</f>
        <v>-2.3413431916204597</v>
      </c>
      <c r="E60" s="212">
        <f t="shared" si="24"/>
        <v>0.95541401273886439</v>
      </c>
      <c r="F60" s="213">
        <f t="shared" si="21"/>
        <v>-3.5976036249733889</v>
      </c>
      <c r="G60" s="211">
        <f t="shared" si="20"/>
        <v>-1.7054263565891459</v>
      </c>
      <c r="H60" s="209">
        <f>+B$211/B60</f>
        <v>1.7965174132492112</v>
      </c>
    </row>
    <row r="61" spans="1:8" ht="15" hidden="1">
      <c r="A61" s="230" t="s">
        <v>166</v>
      </c>
      <c r="B61" s="231">
        <f>[107]RECAPAGEM!$D$29</f>
        <v>326</v>
      </c>
      <c r="C61" s="207">
        <f t="shared" si="15"/>
        <v>117.46054622757079</v>
      </c>
      <c r="D61" s="212">
        <f t="shared" si="25"/>
        <v>2.8391167192429068</v>
      </c>
      <c r="E61" s="212">
        <f t="shared" si="24"/>
        <v>3.8216560509554132</v>
      </c>
      <c r="F61" s="213">
        <f t="shared" si="21"/>
        <v>-2.5207068743832828</v>
      </c>
      <c r="G61" s="211">
        <f t="shared" si="20"/>
        <v>4.4403152431601312</v>
      </c>
      <c r="H61" s="209">
        <f>+B$211/B61</f>
        <v>1.746920306748466</v>
      </c>
    </row>
    <row r="62" spans="1:8" ht="15" hidden="1">
      <c r="A62" s="230" t="s">
        <v>167</v>
      </c>
      <c r="B62" s="231">
        <f>[108]RECAPAGEM!$D$29</f>
        <v>322.5</v>
      </c>
      <c r="C62" s="207">
        <f t="shared" si="15"/>
        <v>116.19946674353245</v>
      </c>
      <c r="D62" s="212">
        <f t="shared" si="25"/>
        <v>-1.0736196319018454</v>
      </c>
      <c r="E62" s="212">
        <f t="shared" si="24"/>
        <v>2.7070063694267565</v>
      </c>
      <c r="F62" s="213">
        <f t="shared" si="21"/>
        <v>-0.98553928341161834</v>
      </c>
      <c r="G62" s="211">
        <f t="shared" si="20"/>
        <v>-1.3761467889908285</v>
      </c>
      <c r="H62" s="209">
        <f>+B$211/B62</f>
        <v>1.7658791317829454</v>
      </c>
    </row>
    <row r="63" spans="1:8" ht="15" hidden="1">
      <c r="A63" s="230" t="s">
        <v>168</v>
      </c>
      <c r="B63" s="231">
        <f>[109]RECAPAGEM!$D$29</f>
        <v>329</v>
      </c>
      <c r="C63" s="207">
        <f t="shared" si="15"/>
        <v>118.54147149960365</v>
      </c>
      <c r="D63" s="212">
        <f t="shared" si="25"/>
        <v>2.0155038759689825</v>
      </c>
      <c r="E63" s="212">
        <f t="shared" si="24"/>
        <v>4.7770700636942776</v>
      </c>
      <c r="F63" s="213">
        <f t="shared" si="21"/>
        <v>-5.0778995960761737</v>
      </c>
      <c r="G63" s="211">
        <f t="shared" si="20"/>
        <v>2.0155038759689825</v>
      </c>
      <c r="H63" s="209">
        <f>+B$211/B63</f>
        <v>1.73099094224924</v>
      </c>
    </row>
    <row r="64" spans="1:8" ht="15" hidden="1">
      <c r="A64" s="230" t="s">
        <v>169</v>
      </c>
      <c r="B64" s="231">
        <f>[110]RECAPAGEM!$D$29</f>
        <v>323</v>
      </c>
      <c r="C64" s="207">
        <f t="shared" si="15"/>
        <v>116.37962095553793</v>
      </c>
      <c r="D64" s="212">
        <f t="shared" si="25"/>
        <v>-1.8237082066869248</v>
      </c>
      <c r="E64" s="212">
        <f t="shared" si="24"/>
        <v>2.866242038216571</v>
      </c>
      <c r="F64" s="213">
        <f t="shared" si="21"/>
        <v>-2.2199798183652808</v>
      </c>
      <c r="G64" s="211">
        <f t="shared" si="20"/>
        <v>2.2151898734177111</v>
      </c>
      <c r="H64" s="209">
        <f>+B$211/B64</f>
        <v>1.7631455727554177</v>
      </c>
    </row>
    <row r="65" spans="1:8" ht="15" hidden="1">
      <c r="A65" s="230" t="s">
        <v>170</v>
      </c>
      <c r="B65" s="231">
        <f>[111]RECAPAGEM!$D$29</f>
        <v>336</v>
      </c>
      <c r="C65" s="207">
        <f t="shared" si="15"/>
        <v>121.06363046768033</v>
      </c>
      <c r="D65" s="212">
        <f t="shared" si="25"/>
        <v>4.0247678018575872</v>
      </c>
      <c r="E65" s="212">
        <f t="shared" ref="E65:E70" si="26">100*(B65/B$58-1)</f>
        <v>7.0063694267515908</v>
      </c>
      <c r="F65" s="213">
        <f t="shared" ref="F65:F70" si="27">(100*(B65/B53-1))</f>
        <v>14.188615123194559</v>
      </c>
      <c r="G65" s="211">
        <f t="shared" si="20"/>
        <v>9.161793372319682</v>
      </c>
      <c r="H65" s="209">
        <f>+B$211/B65</f>
        <v>1.6949286309523808</v>
      </c>
    </row>
    <row r="66" spans="1:8" ht="15" hidden="1">
      <c r="A66" s="230" t="s">
        <v>171</v>
      </c>
      <c r="B66" s="231">
        <f>[112]RECAPAGEM!$D$29</f>
        <v>330.66666666666669</v>
      </c>
      <c r="C66" s="207">
        <f t="shared" si="15"/>
        <v>119.14198553962193</v>
      </c>
      <c r="D66" s="212">
        <f t="shared" ref="D66:D71" si="28">100*(B66/B65-1)</f>
        <v>-1.5873015873015817</v>
      </c>
      <c r="E66" s="212">
        <f t="shared" si="26"/>
        <v>5.3078556263269627</v>
      </c>
      <c r="F66" s="213">
        <f t="shared" si="27"/>
        <v>8.5576712628584026</v>
      </c>
      <c r="G66" s="211">
        <f t="shared" si="20"/>
        <v>2.7457560409740234</v>
      </c>
      <c r="H66" s="209">
        <f>+B$211/B66</f>
        <v>1.7222661895161286</v>
      </c>
    </row>
    <row r="67" spans="1:8" ht="15" hidden="1">
      <c r="A67" s="230" t="s">
        <v>172</v>
      </c>
      <c r="B67" s="231">
        <f>[113]RECAPAGEM!$D$29</f>
        <v>342</v>
      </c>
      <c r="C67" s="207">
        <f t="shared" si="15"/>
        <v>123.22548101174604</v>
      </c>
      <c r="D67" s="212">
        <f t="shared" si="28"/>
        <v>3.4274193548387011</v>
      </c>
      <c r="E67" s="212">
        <f t="shared" si="26"/>
        <v>8.9171974522292974</v>
      </c>
      <c r="F67" s="213">
        <f t="shared" si="27"/>
        <v>9.9678456591639772</v>
      </c>
      <c r="G67" s="211">
        <f t="shared" si="20"/>
        <v>11.338997949018449</v>
      </c>
      <c r="H67" s="209">
        <f>+B$211/B67</f>
        <v>1.6651930409356723</v>
      </c>
    </row>
    <row r="68" spans="1:8" ht="15" hidden="1">
      <c r="A68" s="230" t="s">
        <v>173</v>
      </c>
      <c r="B68" s="231">
        <f>[114]RECAPAGEM!$D$29</f>
        <v>340</v>
      </c>
      <c r="C68" s="207">
        <f t="shared" si="15"/>
        <v>122.50486416372414</v>
      </c>
      <c r="D68" s="212">
        <f t="shared" si="28"/>
        <v>-0.58479532163743242</v>
      </c>
      <c r="E68" s="212">
        <f t="shared" si="26"/>
        <v>8.2802547770700627</v>
      </c>
      <c r="F68" s="213">
        <f t="shared" si="27"/>
        <v>8.9743589743589638</v>
      </c>
      <c r="G68" s="211">
        <f t="shared" si="20"/>
        <v>7.9365079365079305</v>
      </c>
      <c r="H68" s="209">
        <f>+B$211/B68</f>
        <v>1.6749882941176468</v>
      </c>
    </row>
    <row r="69" spans="1:8" ht="15" hidden="1">
      <c r="A69" s="230" t="s">
        <v>174</v>
      </c>
      <c r="B69" s="231">
        <f>[115]RECAPAGEM!$D$29</f>
        <v>345</v>
      </c>
      <c r="C69" s="207">
        <f t="shared" si="15"/>
        <v>124.30640628377891</v>
      </c>
      <c r="D69" s="212">
        <f t="shared" si="28"/>
        <v>1.4705882352941124</v>
      </c>
      <c r="E69" s="212">
        <f t="shared" si="26"/>
        <v>9.8726114649681627</v>
      </c>
      <c r="F69" s="213">
        <f t="shared" si="27"/>
        <v>8.4905660377358583</v>
      </c>
      <c r="G69" s="211">
        <f t="shared" si="20"/>
        <v>4.7358834244080272</v>
      </c>
      <c r="H69" s="209">
        <f>+B$211/B69</f>
        <v>1.6507131014492751</v>
      </c>
    </row>
    <row r="70" spans="1:8" ht="15" hidden="1">
      <c r="A70" s="230" t="s">
        <v>175</v>
      </c>
      <c r="B70" s="231">
        <f>[116]RECAPAGEM!$D$29</f>
        <v>350</v>
      </c>
      <c r="C70" s="207">
        <f t="shared" si="15"/>
        <v>126.10794840383367</v>
      </c>
      <c r="D70" s="212">
        <f t="shared" si="28"/>
        <v>1.449275362318847</v>
      </c>
      <c r="E70" s="212">
        <f t="shared" si="26"/>
        <v>11.464968152866239</v>
      </c>
      <c r="F70" s="213">
        <f t="shared" si="27"/>
        <v>11.464968152866239</v>
      </c>
      <c r="G70" s="211">
        <f t="shared" si="20"/>
        <v>13.217312544478244</v>
      </c>
      <c r="H70" s="209">
        <f>+B$211/B70</f>
        <v>1.6271314857142856</v>
      </c>
    </row>
    <row r="71" spans="1:8" ht="15" hidden="1">
      <c r="A71" s="230" t="s">
        <v>176</v>
      </c>
      <c r="B71" s="231">
        <f>[117]RECAPAGEM!$D$29</f>
        <v>356</v>
      </c>
      <c r="C71" s="207">
        <f t="shared" si="15"/>
        <v>128.2697989478994</v>
      </c>
      <c r="D71" s="212">
        <f t="shared" si="28"/>
        <v>1.7142857142857126</v>
      </c>
      <c r="E71" s="212">
        <f t="shared" ref="E71:E76" si="29">100*(B71/B$70-1)</f>
        <v>1.7142857142857126</v>
      </c>
      <c r="F71" s="213">
        <f t="shared" ref="F71:F76" si="30">(100*(B71/B59-1))</f>
        <v>9.6734442390634445</v>
      </c>
      <c r="G71" s="211">
        <f t="shared" si="20"/>
        <v>2.0466662844694117</v>
      </c>
      <c r="H71" s="209">
        <f>+B$211/B71</f>
        <v>1.5997079213483145</v>
      </c>
    </row>
    <row r="72" spans="1:8" ht="15" hidden="1">
      <c r="A72" s="230" t="s">
        <v>177</v>
      </c>
      <c r="B72" s="231">
        <f>[118]RECAPAGEM!$D$29</f>
        <v>354</v>
      </c>
      <c r="C72" s="207">
        <f t="shared" si="15"/>
        <v>127.54918209987748</v>
      </c>
      <c r="D72" s="212">
        <f t="shared" ref="D72:D77" si="31">100*(B72/B71-1)</f>
        <v>-0.56179775280899014</v>
      </c>
      <c r="E72" s="212">
        <f t="shared" si="29"/>
        <v>1.1428571428571344</v>
      </c>
      <c r="F72" s="213">
        <f t="shared" si="30"/>
        <v>11.671924290220815</v>
      </c>
      <c r="G72" s="211">
        <f t="shared" si="20"/>
        <v>7.6544110938782994</v>
      </c>
      <c r="H72" s="209">
        <f>+B$211/B72</f>
        <v>1.6087458192090394</v>
      </c>
    </row>
    <row r="73" spans="1:8" ht="15" hidden="1">
      <c r="A73" s="230" t="s">
        <v>178</v>
      </c>
      <c r="B73" s="231">
        <f>[119]RECAPAGEM!$D$29</f>
        <v>361.5</v>
      </c>
      <c r="C73" s="207">
        <f t="shared" si="15"/>
        <v>130.25149527995964</v>
      </c>
      <c r="D73" s="212">
        <f t="shared" si="31"/>
        <v>2.1186440677966045</v>
      </c>
      <c r="E73" s="212">
        <f t="shared" si="29"/>
        <v>3.2857142857142918</v>
      </c>
      <c r="F73" s="213">
        <f t="shared" si="30"/>
        <v>10.889570552147232</v>
      </c>
      <c r="G73" s="211">
        <f t="shared" si="20"/>
        <v>8.094369524265165</v>
      </c>
      <c r="H73" s="209">
        <f>+B$211/B73</f>
        <v>1.5753693499308434</v>
      </c>
    </row>
    <row r="74" spans="1:8" ht="15" hidden="1">
      <c r="A74" s="230" t="s">
        <v>179</v>
      </c>
      <c r="B74" s="231">
        <f>[120]RECAPAGEM!$D$29</f>
        <v>361.5</v>
      </c>
      <c r="C74" s="207">
        <f t="shared" si="15"/>
        <v>130.25149527995964</v>
      </c>
      <c r="D74" s="212">
        <f t="shared" si="31"/>
        <v>0</v>
      </c>
      <c r="E74" s="212">
        <f t="shared" si="29"/>
        <v>3.2857142857142918</v>
      </c>
      <c r="F74" s="213">
        <f t="shared" si="30"/>
        <v>12.093023255813961</v>
      </c>
      <c r="G74" s="211">
        <f t="shared" si="20"/>
        <v>10.988302477664181</v>
      </c>
      <c r="H74" s="209">
        <f>+B$211/B74</f>
        <v>1.5753693499308434</v>
      </c>
    </row>
    <row r="75" spans="1:8" ht="15" hidden="1">
      <c r="A75" s="230" t="s">
        <v>180</v>
      </c>
      <c r="B75" s="231">
        <f>[121]RECAPAGEM!$D$29</f>
        <v>364</v>
      </c>
      <c r="C75" s="207">
        <f t="shared" si="15"/>
        <v>131.15226633998702</v>
      </c>
      <c r="D75" s="212">
        <f t="shared" si="31"/>
        <v>0.69156293222683018</v>
      </c>
      <c r="E75" s="212">
        <f t="shared" si="29"/>
        <v>4.0000000000000036</v>
      </c>
      <c r="F75" s="213">
        <f t="shared" si="30"/>
        <v>10.638297872340431</v>
      </c>
      <c r="G75" s="211">
        <f t="shared" si="20"/>
        <v>5.0201961915752991</v>
      </c>
      <c r="H75" s="209">
        <f>+B$211/B75</f>
        <v>1.5645495054945053</v>
      </c>
    </row>
    <row r="76" spans="1:8" ht="15" hidden="1">
      <c r="A76" s="230" t="s">
        <v>181</v>
      </c>
      <c r="B76" s="231">
        <f>[122]RECAPAGEM!$D$29</f>
        <v>368</v>
      </c>
      <c r="C76" s="207">
        <f t="shared" si="15"/>
        <v>132.59350003603083</v>
      </c>
      <c r="D76" s="212">
        <f t="shared" si="31"/>
        <v>1.098901098901095</v>
      </c>
      <c r="E76" s="212">
        <f t="shared" si="29"/>
        <v>5.1428571428571379</v>
      </c>
      <c r="F76" s="213">
        <f t="shared" si="30"/>
        <v>13.931888544891645</v>
      </c>
      <c r="G76" s="211">
        <f t="shared" si="20"/>
        <v>11.402623612512631</v>
      </c>
      <c r="H76" s="209">
        <f>+B$211/B76</f>
        <v>1.5475435326086955</v>
      </c>
    </row>
    <row r="77" spans="1:8" ht="15" hidden="1">
      <c r="A77" s="230" t="s">
        <v>182</v>
      </c>
      <c r="B77" s="231">
        <f>[123]RECAPAGEM!$D$29</f>
        <v>370.5</v>
      </c>
      <c r="C77" s="207">
        <f t="shared" si="15"/>
        <v>133.49427109605821</v>
      </c>
      <c r="D77" s="212">
        <f t="shared" si="31"/>
        <v>0.67934782608696231</v>
      </c>
      <c r="E77" s="212">
        <f t="shared" ref="E77:E82" si="32">100*(B77/B$70-1)</f>
        <v>5.8571428571428497</v>
      </c>
      <c r="F77" s="213">
        <f t="shared" ref="F77:F82" si="33">(100*(B77/B65-1))</f>
        <v>10.267857142857139</v>
      </c>
      <c r="G77" s="211">
        <f t="shared" si="20"/>
        <v>25.913338997451142</v>
      </c>
      <c r="H77" s="209">
        <f>+B$211/B77</f>
        <v>1.5371012685560053</v>
      </c>
    </row>
    <row r="78" spans="1:8" ht="15" hidden="1">
      <c r="A78" s="230" t="s">
        <v>183</v>
      </c>
      <c r="B78" s="231">
        <f>[124]RECAPAGEM!$D$29</f>
        <v>375.5</v>
      </c>
      <c r="C78" s="207">
        <f t="shared" si="15"/>
        <v>135.29581321611298</v>
      </c>
      <c r="D78" s="212">
        <f t="shared" ref="D78:D83" si="34">100*(B78/B77-1)</f>
        <v>1.3495276653171295</v>
      </c>
      <c r="E78" s="212">
        <f t="shared" si="32"/>
        <v>7.2857142857142954</v>
      </c>
      <c r="F78" s="213">
        <f t="shared" si="33"/>
        <v>13.558467741935477</v>
      </c>
      <c r="G78" s="211">
        <f t="shared" ref="G78:G100" si="35">100*(B78/B54-1)</f>
        <v>23.276428102429403</v>
      </c>
      <c r="H78" s="209">
        <f>+B$211/B78</f>
        <v>1.5166338748335551</v>
      </c>
    </row>
    <row r="79" spans="1:8" ht="15" hidden="1">
      <c r="A79" s="230" t="s">
        <v>184</v>
      </c>
      <c r="B79" s="231">
        <f>[125]RECAPAGEM!$D$29</f>
        <v>378</v>
      </c>
      <c r="C79" s="207">
        <f t="shared" si="15"/>
        <v>136.19658427614036</v>
      </c>
      <c r="D79" s="212">
        <f t="shared" si="34"/>
        <v>0.66577896138482195</v>
      </c>
      <c r="E79" s="212">
        <f t="shared" si="32"/>
        <v>8.0000000000000071</v>
      </c>
      <c r="F79" s="213">
        <f t="shared" si="33"/>
        <v>10.526315789473696</v>
      </c>
      <c r="G79" s="211">
        <f t="shared" si="35"/>
        <v>21.543408360128623</v>
      </c>
      <c r="H79" s="209">
        <f>+B$211/B79</f>
        <v>1.5066032275132273</v>
      </c>
    </row>
    <row r="80" spans="1:8" ht="15" hidden="1">
      <c r="A80" s="230" t="s">
        <v>185</v>
      </c>
      <c r="B80" s="231">
        <f>[126]RECAPAGEM!$D$29</f>
        <v>381</v>
      </c>
      <c r="C80" s="207">
        <f t="shared" si="15"/>
        <v>137.27750954817321</v>
      </c>
      <c r="D80" s="212">
        <f t="shared" si="34"/>
        <v>0.79365079365079083</v>
      </c>
      <c r="E80" s="212">
        <f t="shared" si="32"/>
        <v>8.8571428571428523</v>
      </c>
      <c r="F80" s="213">
        <f t="shared" si="33"/>
        <v>12.058823529411766</v>
      </c>
      <c r="G80" s="211">
        <f t="shared" si="35"/>
        <v>22.115384615384627</v>
      </c>
      <c r="H80" s="209">
        <f>+B$211/B80</f>
        <v>1.494740209973753</v>
      </c>
    </row>
    <row r="81" spans="1:8" ht="15" hidden="1">
      <c r="A81" s="230" t="s">
        <v>186</v>
      </c>
      <c r="B81" s="231">
        <f>[127]RECAPAGEM!$D$29</f>
        <v>383.4</v>
      </c>
      <c r="C81" s="207">
        <f t="shared" si="15"/>
        <v>138.14224976579951</v>
      </c>
      <c r="D81" s="212">
        <f t="shared" si="34"/>
        <v>0.62992125984251413</v>
      </c>
      <c r="E81" s="212">
        <f t="shared" si="32"/>
        <v>9.5428571428571409</v>
      </c>
      <c r="F81" s="213">
        <f t="shared" si="33"/>
        <v>11.130434782608688</v>
      </c>
      <c r="G81" s="211">
        <f t="shared" si="35"/>
        <v>20.56603773584904</v>
      </c>
      <c r="H81" s="209">
        <f>+B$211/B81</f>
        <v>1.4853834637454355</v>
      </c>
    </row>
    <row r="82" spans="1:8" ht="15" hidden="1">
      <c r="A82" s="230" t="s">
        <v>187</v>
      </c>
      <c r="B82" s="231">
        <f>[128]RECAPAGEM!$D$29</f>
        <v>389.33333333333331</v>
      </c>
      <c r="C82" s="207">
        <f t="shared" si="15"/>
        <v>140.28007974826448</v>
      </c>
      <c r="D82" s="212">
        <f t="shared" si="34"/>
        <v>1.5475569466179895</v>
      </c>
      <c r="E82" s="212">
        <f t="shared" si="32"/>
        <v>11.238095238095225</v>
      </c>
      <c r="F82" s="213">
        <f t="shared" si="33"/>
        <v>11.238095238095225</v>
      </c>
      <c r="G82" s="211">
        <f t="shared" si="35"/>
        <v>23.991507430997871</v>
      </c>
      <c r="H82" s="209">
        <f>+B$211/B82</f>
        <v>1.4627466267123286</v>
      </c>
    </row>
    <row r="83" spans="1:8" ht="15" hidden="1">
      <c r="A83" s="230" t="s">
        <v>188</v>
      </c>
      <c r="B83" s="231">
        <f>[129]RECAPAGEM!$D$29</f>
        <v>389.33333333333331</v>
      </c>
      <c r="C83" s="207">
        <f t="shared" si="15"/>
        <v>140.28007974826448</v>
      </c>
      <c r="D83" s="212">
        <f t="shared" si="34"/>
        <v>0</v>
      </c>
      <c r="E83" s="212">
        <f t="shared" ref="E83:E88" si="36">100*(B83/B$82-1)</f>
        <v>0</v>
      </c>
      <c r="F83" s="213">
        <f t="shared" ref="F83:F88" si="37">(100*(B83/B71-1))</f>
        <v>9.3632958801498134</v>
      </c>
      <c r="G83" s="211">
        <f t="shared" si="35"/>
        <v>19.942493325118082</v>
      </c>
      <c r="H83" s="209">
        <f>+B$211/B83</f>
        <v>1.4627466267123286</v>
      </c>
    </row>
    <row r="84" spans="1:8" ht="15" hidden="1">
      <c r="A84" s="230" t="s">
        <v>189</v>
      </c>
      <c r="B84" s="231">
        <f>[130]RECAPAGEM!$D$29</f>
        <v>385.16666666666669</v>
      </c>
      <c r="C84" s="207">
        <f t="shared" si="15"/>
        <v>138.77879464821888</v>
      </c>
      <c r="D84" s="212">
        <f t="shared" ref="D84:D89" si="38">100*(B84/B83-1)</f>
        <v>-1.0702054794520466</v>
      </c>
      <c r="E84" s="212">
        <f t="shared" si="36"/>
        <v>-1.0702054794520466</v>
      </c>
      <c r="F84" s="213">
        <f t="shared" si="37"/>
        <v>8.8041431261770331</v>
      </c>
      <c r="G84" s="211">
        <f t="shared" si="35"/>
        <v>21.503680336487907</v>
      </c>
      <c r="H84" s="209">
        <f>+B$211/B84</f>
        <v>1.4785703678061444</v>
      </c>
    </row>
    <row r="85" spans="1:8" ht="15" hidden="1">
      <c r="A85" s="230" t="s">
        <v>190</v>
      </c>
      <c r="B85" s="231">
        <f>[131]RECAPAGEM!$D$29</f>
        <v>385.33333333333331</v>
      </c>
      <c r="C85" s="207">
        <f t="shared" si="15"/>
        <v>138.83884605222067</v>
      </c>
      <c r="D85" s="212">
        <f t="shared" si="38"/>
        <v>4.3271311120718359E-2</v>
      </c>
      <c r="E85" s="212">
        <f t="shared" si="36"/>
        <v>-1.0273972602739767</v>
      </c>
      <c r="F85" s="213">
        <f t="shared" si="37"/>
        <v>6.5928999538958033</v>
      </c>
      <c r="G85" s="211">
        <f t="shared" si="35"/>
        <v>18.200408997955009</v>
      </c>
      <c r="H85" s="209">
        <f>+B$211/B85</f>
        <v>1.477930847750865</v>
      </c>
    </row>
    <row r="86" spans="1:8" ht="15" hidden="1">
      <c r="A86" s="230" t="s">
        <v>191</v>
      </c>
      <c r="B86" s="231">
        <f>[132]RECAPAGEM!$D$29</f>
        <v>352.41499999999996</v>
      </c>
      <c r="C86" s="207">
        <f t="shared" si="15"/>
        <v>126.97809324782013</v>
      </c>
      <c r="D86" s="212">
        <f t="shared" si="38"/>
        <v>-8.5428200692041596</v>
      </c>
      <c r="E86" s="212">
        <f t="shared" si="36"/>
        <v>-9.4824486301369859</v>
      </c>
      <c r="F86" s="213">
        <f t="shared" si="37"/>
        <v>-2.5131396957123187</v>
      </c>
      <c r="G86" s="211">
        <f t="shared" si="35"/>
        <v>9.2759689922480515</v>
      </c>
      <c r="H86" s="209">
        <f>+B$211/B86</f>
        <v>1.6159812153285189</v>
      </c>
    </row>
    <row r="87" spans="1:8" ht="15" hidden="1">
      <c r="A87" s="230" t="s">
        <v>192</v>
      </c>
      <c r="B87" s="231">
        <f>[133]RECAPAGEM!$D$29</f>
        <v>380.33166666666665</v>
      </c>
      <c r="C87" s="207">
        <f t="shared" si="15"/>
        <v>137.03670341812591</v>
      </c>
      <c r="D87" s="212">
        <f t="shared" si="38"/>
        <v>7.9215319060388145</v>
      </c>
      <c r="E87" s="212">
        <f t="shared" si="36"/>
        <v>-2.3120719178082227</v>
      </c>
      <c r="F87" s="213">
        <f t="shared" si="37"/>
        <v>4.4867216117216113</v>
      </c>
      <c r="G87" s="211">
        <f t="shared" si="35"/>
        <v>15.602330293819655</v>
      </c>
      <c r="H87" s="209">
        <f>+B$211/B87</f>
        <v>1.4973668245697833</v>
      </c>
    </row>
    <row r="88" spans="1:8" ht="15" hidden="1">
      <c r="A88" s="230" t="s">
        <v>193</v>
      </c>
      <c r="B88" s="231">
        <f>[134]RECAPAGEM!$D$29</f>
        <v>394.79833333333335</v>
      </c>
      <c r="C88" s="207">
        <f t="shared" si="15"/>
        <v>142.24916528548437</v>
      </c>
      <c r="D88" s="212">
        <f t="shared" si="38"/>
        <v>3.8036976498582398</v>
      </c>
      <c r="E88" s="212">
        <f t="shared" si="36"/>
        <v>1.4036815068493302</v>
      </c>
      <c r="F88" s="213">
        <f t="shared" si="37"/>
        <v>7.2821557971014528</v>
      </c>
      <c r="G88" s="211">
        <f t="shared" si="35"/>
        <v>22.228586171310628</v>
      </c>
      <c r="H88" s="209">
        <f>+B$211/B88</f>
        <v>1.4424985414494318</v>
      </c>
    </row>
    <row r="89" spans="1:8" ht="15" hidden="1">
      <c r="A89" s="230" t="s">
        <v>194</v>
      </c>
      <c r="B89" s="231">
        <f>[135]RECAPAGEM!$D$29</f>
        <v>394.79833333333335</v>
      </c>
      <c r="C89" s="207">
        <f t="shared" si="15"/>
        <v>142.24916528548437</v>
      </c>
      <c r="D89" s="212">
        <f t="shared" si="38"/>
        <v>0</v>
      </c>
      <c r="E89" s="212">
        <f t="shared" ref="E89:E94" si="39">100*(B89/B$82-1)</f>
        <v>1.4036815068493302</v>
      </c>
      <c r="F89" s="213">
        <f t="shared" ref="F89:F100" si="40">(100*(B89/B77-1))</f>
        <v>6.5582546108861939</v>
      </c>
      <c r="G89" s="211">
        <f t="shared" si="35"/>
        <v>17.499503968253972</v>
      </c>
      <c r="H89" s="209">
        <f>+B$211/B89</f>
        <v>1.4424985414494318</v>
      </c>
    </row>
    <row r="90" spans="1:8" ht="15" hidden="1">
      <c r="A90" s="230" t="s">
        <v>195</v>
      </c>
      <c r="B90" s="231">
        <f>[136]RECAPAGEM!$D$29</f>
        <v>398.24833333333328</v>
      </c>
      <c r="C90" s="207">
        <f t="shared" si="15"/>
        <v>143.49222934832213</v>
      </c>
      <c r="D90" s="212">
        <f t="shared" ref="D90:D95" si="41">100*(B90/B89-1)</f>
        <v>0.87386387142800448</v>
      </c>
      <c r="E90" s="212">
        <f t="shared" si="39"/>
        <v>2.2898116438356153</v>
      </c>
      <c r="F90" s="213">
        <f t="shared" si="40"/>
        <v>6.058144695960932</v>
      </c>
      <c r="G90" s="211">
        <f t="shared" si="35"/>
        <v>20.438004032258039</v>
      </c>
      <c r="H90" s="209">
        <f>+B$211/B90</f>
        <v>1.4300022682664502</v>
      </c>
    </row>
    <row r="91" spans="1:8" ht="15" hidden="1">
      <c r="A91" s="230" t="s">
        <v>196</v>
      </c>
      <c r="B91" s="231">
        <f>[137]RECAPAGEM!$D$29</f>
        <v>398.24833333333328</v>
      </c>
      <c r="C91" s="207">
        <f t="shared" si="15"/>
        <v>143.49222934832213</v>
      </c>
      <c r="D91" s="212">
        <f t="shared" si="41"/>
        <v>0</v>
      </c>
      <c r="E91" s="212">
        <f t="shared" si="39"/>
        <v>2.2898116438356153</v>
      </c>
      <c r="F91" s="213">
        <f t="shared" si="40"/>
        <v>5.3567019400352578</v>
      </c>
      <c r="G91" s="211">
        <f t="shared" si="35"/>
        <v>16.446881091617914</v>
      </c>
      <c r="H91" s="209">
        <f>+B$211/B91</f>
        <v>1.4300022682664502</v>
      </c>
    </row>
    <row r="92" spans="1:8" ht="15" hidden="1">
      <c r="A92" s="230" t="s">
        <v>197</v>
      </c>
      <c r="B92" s="231">
        <f>[138]RECAPAGEM!$D$29</f>
        <v>398.24833333333328</v>
      </c>
      <c r="C92" s="207">
        <f t="shared" si="15"/>
        <v>143.49222934832213</v>
      </c>
      <c r="D92" s="212">
        <f t="shared" si="41"/>
        <v>0</v>
      </c>
      <c r="E92" s="212">
        <f t="shared" si="39"/>
        <v>2.2898116438356153</v>
      </c>
      <c r="F92" s="213">
        <f t="shared" si="40"/>
        <v>4.5271216097987566</v>
      </c>
      <c r="G92" s="211">
        <f t="shared" si="35"/>
        <v>17.131862745098015</v>
      </c>
      <c r="H92" s="209">
        <f>+B$211/B92</f>
        <v>1.4300022682664502</v>
      </c>
    </row>
    <row r="93" spans="1:8" ht="15" hidden="1">
      <c r="A93" s="230" t="s">
        <v>198</v>
      </c>
      <c r="B93" s="231">
        <f>[139]RECAPAGEM!$D$29</f>
        <v>399.25</v>
      </c>
      <c r="C93" s="207">
        <f t="shared" si="15"/>
        <v>143.85313828637314</v>
      </c>
      <c r="D93" s="212">
        <f t="shared" si="41"/>
        <v>0.25151810637418226</v>
      </c>
      <c r="E93" s="212">
        <f t="shared" si="39"/>
        <v>2.5470890410958846</v>
      </c>
      <c r="F93" s="213">
        <f t="shared" si="40"/>
        <v>4.1340636411059117</v>
      </c>
      <c r="G93" s="211">
        <f t="shared" si="35"/>
        <v>15.724637681159415</v>
      </c>
      <c r="H93" s="209">
        <f>+B$211/B93</f>
        <v>1.4264145773324983</v>
      </c>
    </row>
    <row r="94" spans="1:8" ht="15" hidden="1">
      <c r="A94" s="230" t="s">
        <v>199</v>
      </c>
      <c r="B94" s="231">
        <f>[140]RECAPAGEM!$D$29</f>
        <v>401.94</v>
      </c>
      <c r="C94" s="207">
        <f t="shared" si="15"/>
        <v>144.8223679469626</v>
      </c>
      <c r="D94" s="212">
        <f t="shared" si="41"/>
        <v>0.67376330619912661</v>
      </c>
      <c r="E94" s="212">
        <f t="shared" si="39"/>
        <v>3.2380136986301489</v>
      </c>
      <c r="F94" s="213">
        <f t="shared" si="40"/>
        <v>3.2380136986301489</v>
      </c>
      <c r="G94" s="211">
        <f t="shared" si="35"/>
        <v>14.840000000000009</v>
      </c>
      <c r="H94" s="209">
        <f>+B$211/B94</f>
        <v>1.4168682390406526</v>
      </c>
    </row>
    <row r="95" spans="1:8" ht="16.5" customHeight="1">
      <c r="A95" s="232" t="s">
        <v>200</v>
      </c>
      <c r="B95" s="231">
        <f>[141]RECAPAGEM!$D$29</f>
        <v>405.87666666666672</v>
      </c>
      <c r="C95" s="207">
        <f t="shared" si="15"/>
        <v>146.24078210948574</v>
      </c>
      <c r="D95" s="214">
        <f t="shared" si="41"/>
        <v>0.97941649665789221</v>
      </c>
      <c r="E95" s="214">
        <f t="shared" ref="E95:E100" si="42">100*(B95/B$94-1)</f>
        <v>0.97941649665789221</v>
      </c>
      <c r="F95" s="215">
        <f t="shared" si="40"/>
        <v>4.2491438356164535</v>
      </c>
      <c r="G95" s="216">
        <f t="shared" si="35"/>
        <v>14.010299625468182</v>
      </c>
      <c r="H95" s="209">
        <f>+B$211/B95</f>
        <v>1.4031257935497643</v>
      </c>
    </row>
    <row r="96" spans="1:8" ht="16.5" customHeight="1">
      <c r="A96" s="232" t="s">
        <v>201</v>
      </c>
      <c r="B96" s="231">
        <f>[142]RECAPAGEM!$D$29</f>
        <v>405.87666666666672</v>
      </c>
      <c r="C96" s="207">
        <f t="shared" si="15"/>
        <v>146.24078210948574</v>
      </c>
      <c r="D96" s="214">
        <f t="shared" ref="D96:D101" si="43">100*(B96/B95-1)</f>
        <v>0</v>
      </c>
      <c r="E96" s="214">
        <f t="shared" si="42"/>
        <v>0.97941649665789221</v>
      </c>
      <c r="F96" s="215">
        <f t="shared" si="40"/>
        <v>5.3768931198615366</v>
      </c>
      <c r="G96" s="216">
        <f t="shared" si="35"/>
        <v>14.654425612052746</v>
      </c>
      <c r="H96" s="209">
        <f>+B$211/B96</f>
        <v>1.4031257935497643</v>
      </c>
    </row>
    <row r="97" spans="1:8" ht="16.5" customHeight="1">
      <c r="A97" s="232" t="s">
        <v>202</v>
      </c>
      <c r="B97" s="231">
        <f>[143]RECAPAGEM!$D$29</f>
        <v>405.87666666666672</v>
      </c>
      <c r="C97" s="207">
        <f t="shared" si="15"/>
        <v>146.24078210948574</v>
      </c>
      <c r="D97" s="214">
        <f t="shared" si="43"/>
        <v>0</v>
      </c>
      <c r="E97" s="214">
        <f t="shared" si="42"/>
        <v>0.97941649665789221</v>
      </c>
      <c r="F97" s="215">
        <f t="shared" si="40"/>
        <v>5.3313148788927567</v>
      </c>
      <c r="G97" s="216">
        <f t="shared" si="35"/>
        <v>12.275703088981116</v>
      </c>
      <c r="H97" s="209">
        <f t="shared" ref="H97:H160" si="44">+B$211/B97</f>
        <v>1.4031257935497643</v>
      </c>
    </row>
    <row r="98" spans="1:8" ht="16.5" customHeight="1">
      <c r="A98" s="232" t="s">
        <v>203</v>
      </c>
      <c r="B98" s="231">
        <f>[144]RECAPAGEM!$D$29</f>
        <v>405.87666666666672</v>
      </c>
      <c r="C98" s="207">
        <f t="shared" si="15"/>
        <v>146.24078210948574</v>
      </c>
      <c r="D98" s="214">
        <f t="shared" si="43"/>
        <v>0</v>
      </c>
      <c r="E98" s="214">
        <f t="shared" si="42"/>
        <v>0.97941649665789221</v>
      </c>
      <c r="F98" s="215">
        <f t="shared" si="40"/>
        <v>15.17008829552282</v>
      </c>
      <c r="G98" s="216">
        <f t="shared" si="35"/>
        <v>12.275703088981116</v>
      </c>
      <c r="H98" s="209">
        <f t="shared" si="44"/>
        <v>1.4031257935497643</v>
      </c>
    </row>
    <row r="99" spans="1:8" ht="16.5" customHeight="1">
      <c r="A99" s="232" t="s">
        <v>204</v>
      </c>
      <c r="B99" s="231">
        <f>[145]RECAPAGEM!$D$29</f>
        <v>405.87666666666672</v>
      </c>
      <c r="C99" s="207">
        <f t="shared" si="15"/>
        <v>146.24078210948574</v>
      </c>
      <c r="D99" s="214">
        <f t="shared" si="43"/>
        <v>0</v>
      </c>
      <c r="E99" s="214">
        <f t="shared" si="42"/>
        <v>0.97941649665789221</v>
      </c>
      <c r="F99" s="215">
        <f t="shared" si="40"/>
        <v>6.7165062073015314</v>
      </c>
      <c r="G99" s="216">
        <f t="shared" si="35"/>
        <v>11.504578754578777</v>
      </c>
      <c r="H99" s="209">
        <f t="shared" si="44"/>
        <v>1.4031257935497643</v>
      </c>
    </row>
    <row r="100" spans="1:8" ht="16.5" customHeight="1">
      <c r="A100" s="232" t="s">
        <v>205</v>
      </c>
      <c r="B100" s="231">
        <f>[146]RECAPAGEM!$D$29</f>
        <v>405.87666666666672</v>
      </c>
      <c r="C100" s="207">
        <f t="shared" si="15"/>
        <v>146.24078210948574</v>
      </c>
      <c r="D100" s="214">
        <f t="shared" si="43"/>
        <v>0</v>
      </c>
      <c r="E100" s="214">
        <f t="shared" si="42"/>
        <v>0.97941649665789221</v>
      </c>
      <c r="F100" s="215">
        <f t="shared" si="40"/>
        <v>2.8060739871411222</v>
      </c>
      <c r="G100" s="216">
        <f t="shared" si="35"/>
        <v>10.292572463768135</v>
      </c>
      <c r="H100" s="209">
        <f t="shared" si="44"/>
        <v>1.4031257935497643</v>
      </c>
    </row>
    <row r="101" spans="1:8" ht="16.5" customHeight="1">
      <c r="A101" s="232" t="s">
        <v>206</v>
      </c>
      <c r="B101" s="231">
        <f>[147]RECAPAGEM!$D$29</f>
        <v>406.08666666666664</v>
      </c>
      <c r="C101" s="207">
        <f t="shared" si="15"/>
        <v>146.31644687852801</v>
      </c>
      <c r="D101" s="214">
        <f t="shared" si="43"/>
        <v>5.1739855292631809E-2</v>
      </c>
      <c r="E101" s="214">
        <f t="shared" ref="E101:E106" si="45">100*(B101/B$94-1)</f>
        <v>1.0316631006286103</v>
      </c>
      <c r="F101" s="215">
        <f t="shared" ref="F101:F106" si="46">(100*(B101/B89-1))</f>
        <v>2.8592657010541256</v>
      </c>
      <c r="G101" s="216">
        <f t="shared" ref="G101:G106" si="47">100*(B101/B77-1)</f>
        <v>9.6050382366171796</v>
      </c>
      <c r="H101" s="209">
        <f t="shared" si="44"/>
        <v>1.4024001937189106</v>
      </c>
    </row>
    <row r="102" spans="1:8" ht="16.5" customHeight="1">
      <c r="A102" s="232" t="s">
        <v>207</v>
      </c>
      <c r="B102" s="231">
        <f>[148]RECAPAGEM!$D$29</f>
        <v>406.08666666666664</v>
      </c>
      <c r="C102" s="207">
        <f t="shared" si="15"/>
        <v>146.31644687852801</v>
      </c>
      <c r="D102" s="214">
        <f t="shared" ref="D102:D107" si="48">100*(B102/B101-1)</f>
        <v>0</v>
      </c>
      <c r="E102" s="214">
        <f t="shared" si="45"/>
        <v>1.0316631006286103</v>
      </c>
      <c r="F102" s="215">
        <f t="shared" si="46"/>
        <v>1.968202419763232</v>
      </c>
      <c r="G102" s="216">
        <f t="shared" si="47"/>
        <v>8.1455836662227998</v>
      </c>
      <c r="H102" s="209">
        <f t="shared" si="44"/>
        <v>1.4024001937189106</v>
      </c>
    </row>
    <row r="103" spans="1:8" ht="16.5" customHeight="1">
      <c r="A103" s="232" t="s">
        <v>208</v>
      </c>
      <c r="B103" s="231">
        <f>[149]RECAPAGEM!$D$29</f>
        <v>406.08666666666664</v>
      </c>
      <c r="C103" s="207">
        <f t="shared" si="15"/>
        <v>146.31644687852801</v>
      </c>
      <c r="D103" s="214">
        <f t="shared" si="48"/>
        <v>0</v>
      </c>
      <c r="E103" s="214">
        <f t="shared" si="45"/>
        <v>1.0316631006286103</v>
      </c>
      <c r="F103" s="215">
        <f t="shared" si="46"/>
        <v>1.968202419763232</v>
      </c>
      <c r="G103" s="216">
        <f t="shared" si="47"/>
        <v>7.4303350970017501</v>
      </c>
      <c r="H103" s="209">
        <f t="shared" si="44"/>
        <v>1.4024001937189106</v>
      </c>
    </row>
    <row r="104" spans="1:8" ht="16.5" customHeight="1">
      <c r="A104" s="232" t="s">
        <v>209</v>
      </c>
      <c r="B104" s="231">
        <f>[150]RECAPAGEM!$D$29</f>
        <v>406.75333333333333</v>
      </c>
      <c r="C104" s="207">
        <f t="shared" si="15"/>
        <v>146.55665249453531</v>
      </c>
      <c r="D104" s="214">
        <f t="shared" si="48"/>
        <v>0.16416856828591619</v>
      </c>
      <c r="E104" s="214">
        <f t="shared" si="45"/>
        <v>1.197525335456362</v>
      </c>
      <c r="F104" s="215">
        <f t="shared" si="46"/>
        <v>2.1356021577826345</v>
      </c>
      <c r="G104" s="216">
        <f t="shared" si="47"/>
        <v>6.7594050743656986</v>
      </c>
      <c r="H104" s="209">
        <f t="shared" si="44"/>
        <v>1.4001016668578825</v>
      </c>
    </row>
    <row r="105" spans="1:8" ht="16.5" customHeight="1">
      <c r="A105" s="232" t="s">
        <v>210</v>
      </c>
      <c r="B105" s="231">
        <f>[151]RECAPAGEM!$D$29</f>
        <v>423.77</v>
      </c>
      <c r="C105" s="207">
        <f t="shared" si="15"/>
        <v>152.6879008431217</v>
      </c>
      <c r="D105" s="214">
        <f t="shared" si="48"/>
        <v>4.1835346565485931</v>
      </c>
      <c r="E105" s="214">
        <f t="shared" si="45"/>
        <v>5.4311588794347276</v>
      </c>
      <c r="F105" s="215">
        <f t="shared" si="46"/>
        <v>6.1415153412648582</v>
      </c>
      <c r="G105" s="216">
        <f t="shared" si="47"/>
        <v>10.529473135106947</v>
      </c>
      <c r="H105" s="209">
        <f t="shared" si="44"/>
        <v>1.343879982065743</v>
      </c>
    </row>
    <row r="106" spans="1:8" ht="16.5" customHeight="1">
      <c r="A106" s="232" t="s">
        <v>211</v>
      </c>
      <c r="B106" s="231">
        <f>[152]RECAPAGEM!$D$29</f>
        <v>423.77</v>
      </c>
      <c r="C106" s="207">
        <f t="shared" si="15"/>
        <v>152.6879008431217</v>
      </c>
      <c r="D106" s="214">
        <f t="shared" si="48"/>
        <v>0</v>
      </c>
      <c r="E106" s="214">
        <f t="shared" si="45"/>
        <v>5.4311588794347276</v>
      </c>
      <c r="F106" s="215">
        <f t="shared" si="46"/>
        <v>5.4311588794347276</v>
      </c>
      <c r="G106" s="216">
        <f t="shared" si="47"/>
        <v>8.8450342465753451</v>
      </c>
      <c r="H106" s="209">
        <f t="shared" si="44"/>
        <v>1.343879982065743</v>
      </c>
    </row>
    <row r="107" spans="1:8" ht="16.5" customHeight="1">
      <c r="A107" s="232" t="s">
        <v>212</v>
      </c>
      <c r="B107" s="231">
        <f>[153]RECAPAGEM!$D$29</f>
        <v>423.77</v>
      </c>
      <c r="C107" s="207">
        <f t="shared" ref="C107:C112" si="49">100*B107/B$8</f>
        <v>152.6879008431217</v>
      </c>
      <c r="D107" s="214">
        <f t="shared" si="48"/>
        <v>0</v>
      </c>
      <c r="E107" s="214">
        <f t="shared" ref="E107:E112" si="50">100*(B107/B$106-1)</f>
        <v>0</v>
      </c>
      <c r="F107" s="215">
        <f t="shared" ref="F107:F112" si="51">(100*(B107/B95-1))</f>
        <v>4.4085641779522344</v>
      </c>
      <c r="G107" s="216">
        <f t="shared" ref="G107:G112" si="52">100*(B107/B83-1)</f>
        <v>8.8450342465753451</v>
      </c>
      <c r="H107" s="209">
        <f t="shared" si="44"/>
        <v>1.343879982065743</v>
      </c>
    </row>
    <row r="108" spans="1:8" ht="16.5" customHeight="1">
      <c r="A108" s="232" t="s">
        <v>213</v>
      </c>
      <c r="B108" s="231">
        <f>[154]RECAPAGEM!$D$29</f>
        <v>423.77</v>
      </c>
      <c r="C108" s="207">
        <f t="shared" si="49"/>
        <v>152.6879008431217</v>
      </c>
      <c r="D108" s="214">
        <f t="shared" ref="D108:D113" si="53">100*(B108/B107-1)</f>
        <v>0</v>
      </c>
      <c r="E108" s="214">
        <f t="shared" si="50"/>
        <v>0</v>
      </c>
      <c r="F108" s="215">
        <f t="shared" si="51"/>
        <v>4.4085641779522344</v>
      </c>
      <c r="G108" s="216">
        <f t="shared" si="52"/>
        <v>10.022501081782774</v>
      </c>
      <c r="H108" s="209">
        <f t="shared" si="44"/>
        <v>1.343879982065743</v>
      </c>
    </row>
    <row r="109" spans="1:8" ht="16.5" customHeight="1">
      <c r="A109" s="232" t="s">
        <v>214</v>
      </c>
      <c r="B109" s="231">
        <f>[155]RECAPAGEM!$D$29</f>
        <v>424.27</v>
      </c>
      <c r="C109" s="207">
        <f t="shared" si="49"/>
        <v>152.86805505512717</v>
      </c>
      <c r="D109" s="214">
        <f t="shared" si="53"/>
        <v>0.11798853151474553</v>
      </c>
      <c r="E109" s="214">
        <f t="shared" si="50"/>
        <v>0.11798853151474553</v>
      </c>
      <c r="F109" s="215">
        <f t="shared" si="51"/>
        <v>4.5317543096014212</v>
      </c>
      <c r="G109" s="216">
        <f t="shared" si="52"/>
        <v>10.104671280276811</v>
      </c>
      <c r="H109" s="209">
        <f t="shared" si="44"/>
        <v>1.3422962264595657</v>
      </c>
    </row>
    <row r="110" spans="1:8" ht="16.5" customHeight="1">
      <c r="A110" s="232" t="s">
        <v>215</v>
      </c>
      <c r="B110" s="231">
        <f>[156]RECAPAGEM!$D$29</f>
        <v>424.27</v>
      </c>
      <c r="C110" s="207">
        <f t="shared" si="49"/>
        <v>152.86805505512717</v>
      </c>
      <c r="D110" s="214">
        <f t="shared" si="53"/>
        <v>0</v>
      </c>
      <c r="E110" s="214">
        <f t="shared" si="50"/>
        <v>0.11798853151474553</v>
      </c>
      <c r="F110" s="215">
        <f t="shared" si="51"/>
        <v>4.5317543096014212</v>
      </c>
      <c r="G110" s="216">
        <f t="shared" si="52"/>
        <v>20.389313735226942</v>
      </c>
      <c r="H110" s="209">
        <f t="shared" si="44"/>
        <v>1.3422962264595657</v>
      </c>
    </row>
    <row r="111" spans="1:8" ht="16.5" customHeight="1">
      <c r="A111" s="232" t="s">
        <v>216</v>
      </c>
      <c r="B111" s="231">
        <f>[157]RECAPAGEM!$D$29</f>
        <v>424.27</v>
      </c>
      <c r="C111" s="207">
        <f t="shared" si="49"/>
        <v>152.86805505512717</v>
      </c>
      <c r="D111" s="214">
        <f t="shared" si="53"/>
        <v>0</v>
      </c>
      <c r="E111" s="214">
        <f t="shared" si="50"/>
        <v>0.11798853151474553</v>
      </c>
      <c r="F111" s="215">
        <f t="shared" si="51"/>
        <v>4.5317543096014212</v>
      </c>
      <c r="G111" s="216">
        <f t="shared" si="52"/>
        <v>11.552636076406998</v>
      </c>
      <c r="H111" s="209">
        <f t="shared" si="44"/>
        <v>1.3422962264595657</v>
      </c>
    </row>
    <row r="112" spans="1:8" ht="16.5" customHeight="1">
      <c r="A112" s="232" t="s">
        <v>217</v>
      </c>
      <c r="B112" s="231">
        <f>[158]RECAPAGEM!$D$29</f>
        <v>424.27</v>
      </c>
      <c r="C112" s="207">
        <f t="shared" si="49"/>
        <v>152.86805505512717</v>
      </c>
      <c r="D112" s="214">
        <f t="shared" si="53"/>
        <v>0</v>
      </c>
      <c r="E112" s="214">
        <f t="shared" si="50"/>
        <v>0.11798853151474553</v>
      </c>
      <c r="F112" s="215">
        <f t="shared" si="51"/>
        <v>4.5317543096014212</v>
      </c>
      <c r="G112" s="216">
        <f t="shared" si="52"/>
        <v>7.4649926755854246</v>
      </c>
      <c r="H112" s="209">
        <f t="shared" si="44"/>
        <v>1.3422962264595657</v>
      </c>
    </row>
    <row r="113" spans="1:8" ht="16.5" customHeight="1">
      <c r="A113" s="232" t="s">
        <v>218</v>
      </c>
      <c r="B113" s="231">
        <f>[159]RECAPAGEM!$D$29</f>
        <v>426.27833333333336</v>
      </c>
      <c r="C113" s="207">
        <f t="shared" ref="C113:C118" si="54">100*B113/B$8</f>
        <v>153.59167447334917</v>
      </c>
      <c r="D113" s="214">
        <f t="shared" si="53"/>
        <v>0.47336208860710993</v>
      </c>
      <c r="E113" s="214">
        <f t="shared" ref="E113:E118" si="55">100*(B113/B$106-1)</f>
        <v>0.59190913309894455</v>
      </c>
      <c r="F113" s="215">
        <f t="shared" ref="F113:F118" si="56">(100*(B113/B101-1))</f>
        <v>4.9722555119597001</v>
      </c>
      <c r="G113" s="216">
        <f t="shared" ref="G113:G118" si="57">100*(B113/B89-1)</f>
        <v>7.9736912094360513</v>
      </c>
      <c r="H113" s="209">
        <f t="shared" si="44"/>
        <v>1.3359722403593894</v>
      </c>
    </row>
    <row r="114" spans="1:8" ht="16.5" customHeight="1">
      <c r="A114" s="232" t="s">
        <v>219</v>
      </c>
      <c r="B114" s="231">
        <f>[160]RECAPAGEM!$D$29</f>
        <v>426.27833333333336</v>
      </c>
      <c r="C114" s="207">
        <f t="shared" si="54"/>
        <v>153.59167447334917</v>
      </c>
      <c r="D114" s="214">
        <f t="shared" ref="D114:D119" si="58">100*(B114/B113-1)</f>
        <v>0</v>
      </c>
      <c r="E114" s="214">
        <f t="shared" si="55"/>
        <v>0.59190913309894455</v>
      </c>
      <c r="F114" s="215">
        <f t="shared" si="56"/>
        <v>4.9722555119597001</v>
      </c>
      <c r="G114" s="216">
        <f t="shared" si="57"/>
        <v>7.0383219850261192</v>
      </c>
      <c r="H114" s="209">
        <f t="shared" si="44"/>
        <v>1.3359722403593894</v>
      </c>
    </row>
    <row r="115" spans="1:8" ht="16.5" customHeight="1">
      <c r="A115" s="232" t="s">
        <v>220</v>
      </c>
      <c r="B115" s="231">
        <f>[161]RECAPAGEM!$D$29</f>
        <v>426.27833333333336</v>
      </c>
      <c r="C115" s="207">
        <f t="shared" si="54"/>
        <v>153.59167447334917</v>
      </c>
      <c r="D115" s="214">
        <f t="shared" si="58"/>
        <v>0</v>
      </c>
      <c r="E115" s="214">
        <f t="shared" si="55"/>
        <v>0.59190913309894455</v>
      </c>
      <c r="F115" s="215">
        <f t="shared" si="56"/>
        <v>4.9722555119597001</v>
      </c>
      <c r="G115" s="216">
        <f t="shared" si="57"/>
        <v>7.0383219850261192</v>
      </c>
      <c r="H115" s="209">
        <f t="shared" si="44"/>
        <v>1.3359722403593894</v>
      </c>
    </row>
    <row r="116" spans="1:8" ht="16.5" customHeight="1">
      <c r="A116" s="232" t="s">
        <v>221</v>
      </c>
      <c r="B116" s="231">
        <f>[162]RECAPAGEM!$D$29</f>
        <v>426.27833333333336</v>
      </c>
      <c r="C116" s="207">
        <f t="shared" si="54"/>
        <v>153.59167447334917</v>
      </c>
      <c r="D116" s="214">
        <f t="shared" si="58"/>
        <v>0</v>
      </c>
      <c r="E116" s="214">
        <f t="shared" si="55"/>
        <v>0.59190913309894455</v>
      </c>
      <c r="F116" s="215">
        <f t="shared" si="56"/>
        <v>4.8002065133660121</v>
      </c>
      <c r="G116" s="216">
        <f t="shared" si="57"/>
        <v>7.0383219850261192</v>
      </c>
      <c r="H116" s="209">
        <f t="shared" si="44"/>
        <v>1.3359722403593894</v>
      </c>
    </row>
    <row r="117" spans="1:8" ht="16.5" customHeight="1">
      <c r="A117" s="232" t="s">
        <v>222</v>
      </c>
      <c r="B117" s="231">
        <f>[163]RECAPAGEM!$D$29</f>
        <v>426.27833333333336</v>
      </c>
      <c r="C117" s="207">
        <f t="shared" si="54"/>
        <v>153.59167447334917</v>
      </c>
      <c r="D117" s="214">
        <f t="shared" si="58"/>
        <v>0</v>
      </c>
      <c r="E117" s="214">
        <f t="shared" si="55"/>
        <v>0.59190913309894455</v>
      </c>
      <c r="F117" s="215">
        <f t="shared" si="56"/>
        <v>0.59190913309894455</v>
      </c>
      <c r="G117" s="216">
        <f t="shared" si="57"/>
        <v>6.7697766645794299</v>
      </c>
      <c r="H117" s="209">
        <f t="shared" si="44"/>
        <v>1.3359722403593894</v>
      </c>
    </row>
    <row r="118" spans="1:8" ht="16.5" customHeight="1">
      <c r="A118" s="232" t="s">
        <v>223</v>
      </c>
      <c r="B118" s="231">
        <f>[164]RECAPAGEM!$D$29</f>
        <v>426.27833333333336</v>
      </c>
      <c r="C118" s="207">
        <f t="shared" si="54"/>
        <v>153.59167447334917</v>
      </c>
      <c r="D118" s="214">
        <f t="shared" si="58"/>
        <v>0</v>
      </c>
      <c r="E118" s="214">
        <f t="shared" si="55"/>
        <v>0.59190913309894455</v>
      </c>
      <c r="F118" s="215">
        <f t="shared" si="56"/>
        <v>0.59190913309894455</v>
      </c>
      <c r="G118" s="216">
        <f t="shared" si="57"/>
        <v>6.0552155379741679</v>
      </c>
      <c r="H118" s="209">
        <f t="shared" si="44"/>
        <v>1.3359722403593894</v>
      </c>
    </row>
    <row r="119" spans="1:8" ht="16.5" customHeight="1">
      <c r="A119" s="232" t="s">
        <v>224</v>
      </c>
      <c r="B119" s="231">
        <f>[165]RECAPAGEM!$D$29</f>
        <v>454.02833333333336</v>
      </c>
      <c r="C119" s="207">
        <f t="shared" ref="C119:C124" si="59">100*B119/B$8</f>
        <v>163.59023323965314</v>
      </c>
      <c r="D119" s="214">
        <f t="shared" si="58"/>
        <v>6.5098312135654757</v>
      </c>
      <c r="E119" s="214">
        <f t="shared" ref="E119:E124" si="60">100*(B119/B$118-1)</f>
        <v>6.5098312135654757</v>
      </c>
      <c r="F119" s="215">
        <f t="shared" ref="F119:F124" si="61">(100*(B119/B107-1))</f>
        <v>7.1402726321668331</v>
      </c>
      <c r="G119" s="216">
        <f t="shared" ref="G119:G124" si="62">100*(B119/B95-1)</f>
        <v>11.863620311588896</v>
      </c>
      <c r="H119" s="209">
        <f t="shared" si="44"/>
        <v>1.2543182400510979</v>
      </c>
    </row>
    <row r="120" spans="1:8" ht="16.5" customHeight="1">
      <c r="A120" s="232" t="s">
        <v>225</v>
      </c>
      <c r="B120" s="231">
        <f>[166]RECAPAGEM!$D$29</f>
        <v>454.02833333333336</v>
      </c>
      <c r="C120" s="207">
        <f t="shared" si="59"/>
        <v>163.59023323965314</v>
      </c>
      <c r="D120" s="214">
        <f t="shared" ref="D120:D125" si="63">100*(B120/B119-1)</f>
        <v>0</v>
      </c>
      <c r="E120" s="214">
        <f t="shared" si="60"/>
        <v>6.5098312135654757</v>
      </c>
      <c r="F120" s="215">
        <f t="shared" si="61"/>
        <v>7.1402726321668331</v>
      </c>
      <c r="G120" s="216">
        <f t="shared" si="62"/>
        <v>11.863620311588896</v>
      </c>
      <c r="H120" s="209">
        <f t="shared" si="44"/>
        <v>1.2543182400510979</v>
      </c>
    </row>
    <row r="121" spans="1:8" ht="16.5" customHeight="1">
      <c r="A121" s="232" t="s">
        <v>226</v>
      </c>
      <c r="B121" s="231">
        <f>[167]RECAPAGEM!$D$29</f>
        <v>454.12833333333333</v>
      </c>
      <c r="C121" s="207">
        <f t="shared" si="59"/>
        <v>163.62626408205423</v>
      </c>
      <c r="D121" s="214">
        <f t="shared" si="63"/>
        <v>2.2025057173369333E-2</v>
      </c>
      <c r="E121" s="214">
        <f t="shared" si="60"/>
        <v>6.533290064785513</v>
      </c>
      <c r="F121" s="215">
        <f t="shared" si="61"/>
        <v>7.0375782716980639</v>
      </c>
      <c r="G121" s="216">
        <f t="shared" si="62"/>
        <v>11.888258337918733</v>
      </c>
      <c r="H121" s="209">
        <f t="shared" si="44"/>
        <v>1.254042036575564</v>
      </c>
    </row>
    <row r="122" spans="1:8" ht="16.5" customHeight="1">
      <c r="A122" s="232" t="s">
        <v>227</v>
      </c>
      <c r="B122" s="231">
        <f>[168]RECAPAGEM!$D$29</f>
        <v>454.12833333333333</v>
      </c>
      <c r="C122" s="207">
        <f t="shared" si="59"/>
        <v>163.62626408205423</v>
      </c>
      <c r="D122" s="214">
        <f t="shared" si="63"/>
        <v>0</v>
      </c>
      <c r="E122" s="214">
        <f t="shared" si="60"/>
        <v>6.533290064785513</v>
      </c>
      <c r="F122" s="215">
        <f t="shared" si="61"/>
        <v>7.0375782716980639</v>
      </c>
      <c r="G122" s="216">
        <f t="shared" si="62"/>
        <v>11.888258337918733</v>
      </c>
      <c r="H122" s="209">
        <f t="shared" si="44"/>
        <v>1.254042036575564</v>
      </c>
    </row>
    <row r="123" spans="1:8" ht="16.5" customHeight="1">
      <c r="A123" s="232" t="s">
        <v>228</v>
      </c>
      <c r="B123" s="231">
        <f>[169]RECAPAGEM!$D$29</f>
        <v>460.92833333333334</v>
      </c>
      <c r="C123" s="207">
        <f t="shared" si="59"/>
        <v>166.07636136532872</v>
      </c>
      <c r="D123" s="214">
        <f t="shared" si="63"/>
        <v>1.4973740902901822</v>
      </c>
      <c r="E123" s="214">
        <f t="shared" si="60"/>
        <v>8.1284919477493176</v>
      </c>
      <c r="F123" s="215">
        <f t="shared" si="61"/>
        <v>8.6403312356125426</v>
      </c>
      <c r="G123" s="216">
        <f t="shared" si="62"/>
        <v>13.563644128347674</v>
      </c>
      <c r="H123" s="209">
        <f t="shared" si="44"/>
        <v>1.2355413603705563</v>
      </c>
    </row>
    <row r="124" spans="1:8" ht="16.5" customHeight="1">
      <c r="A124" s="232" t="s">
        <v>229</v>
      </c>
      <c r="B124" s="231">
        <f>[170]RECAPAGEM!$D$29</f>
        <v>460.92833333333334</v>
      </c>
      <c r="C124" s="207">
        <f t="shared" si="59"/>
        <v>166.07636136532872</v>
      </c>
      <c r="D124" s="214">
        <f t="shared" si="63"/>
        <v>0</v>
      </c>
      <c r="E124" s="214">
        <f t="shared" si="60"/>
        <v>8.1284919477493176</v>
      </c>
      <c r="F124" s="215">
        <f t="shared" si="61"/>
        <v>8.6403312356125426</v>
      </c>
      <c r="G124" s="216">
        <f t="shared" si="62"/>
        <v>13.563644128347674</v>
      </c>
      <c r="H124" s="209">
        <f t="shared" si="44"/>
        <v>1.2355413603705563</v>
      </c>
    </row>
    <row r="125" spans="1:8" ht="16.5" customHeight="1">
      <c r="A125" s="232" t="s">
        <v>230</v>
      </c>
      <c r="B125" s="231">
        <f>[171]RECAPAGEM!$D$29</f>
        <v>460.92833333333334</v>
      </c>
      <c r="C125" s="207">
        <f t="shared" ref="C125:C131" si="64">100*B125/B$8</f>
        <v>166.07636136532872</v>
      </c>
      <c r="D125" s="214">
        <f t="shared" si="63"/>
        <v>0</v>
      </c>
      <c r="E125" s="214">
        <f t="shared" ref="E125:E130" si="65">100*(B125/B$118-1)</f>
        <v>8.1284919477493176</v>
      </c>
      <c r="F125" s="215">
        <f t="shared" ref="F125:F130" si="66">(100*(B125/B113-1))</f>
        <v>8.1284919477493176</v>
      </c>
      <c r="G125" s="216">
        <f t="shared" ref="G125:G130" si="67">100*(B125/B101-1)</f>
        <v>13.504916848620162</v>
      </c>
      <c r="H125" s="209">
        <f t="shared" si="44"/>
        <v>1.2355413603705563</v>
      </c>
    </row>
    <row r="126" spans="1:8" ht="16.5" customHeight="1">
      <c r="A126" s="232" t="s">
        <v>231</v>
      </c>
      <c r="B126" s="231">
        <f>[172]RECAPAGEM!$D$29</f>
        <v>460.92833333333334</v>
      </c>
      <c r="C126" s="207">
        <f t="shared" si="64"/>
        <v>166.07636136532872</v>
      </c>
      <c r="D126" s="214">
        <f t="shared" ref="D126:D131" si="68">100*(B126/B125-1)</f>
        <v>0</v>
      </c>
      <c r="E126" s="214">
        <f t="shared" si="65"/>
        <v>8.1284919477493176</v>
      </c>
      <c r="F126" s="215">
        <f t="shared" si="66"/>
        <v>8.1284919477493176</v>
      </c>
      <c r="G126" s="216">
        <f t="shared" si="67"/>
        <v>13.504916848620162</v>
      </c>
      <c r="H126" s="209">
        <f t="shared" si="44"/>
        <v>1.2355413603705563</v>
      </c>
    </row>
    <row r="127" spans="1:8" ht="16.5" customHeight="1">
      <c r="A127" s="232" t="s">
        <v>232</v>
      </c>
      <c r="B127" s="233">
        <f>[173]RECAPAGEM!$D$29</f>
        <v>460.92833333333334</v>
      </c>
      <c r="C127" s="207">
        <f t="shared" si="64"/>
        <v>166.07636136532872</v>
      </c>
      <c r="D127" s="214">
        <f t="shared" si="68"/>
        <v>0</v>
      </c>
      <c r="E127" s="214">
        <f t="shared" si="65"/>
        <v>8.1284919477493176</v>
      </c>
      <c r="F127" s="215">
        <f t="shared" si="66"/>
        <v>8.1284919477493176</v>
      </c>
      <c r="G127" s="216">
        <f t="shared" si="67"/>
        <v>13.504916848620162</v>
      </c>
      <c r="H127" s="209">
        <f t="shared" si="44"/>
        <v>1.2355413603705563</v>
      </c>
    </row>
    <row r="128" spans="1:8" ht="16.5" customHeight="1">
      <c r="A128" s="232" t="s">
        <v>233</v>
      </c>
      <c r="B128" s="233">
        <f>[174]RECAPAGEM!$D$29</f>
        <v>460.92833333333334</v>
      </c>
      <c r="C128" s="207">
        <f t="shared" si="64"/>
        <v>166.07636136532872</v>
      </c>
      <c r="D128" s="214">
        <f t="shared" si="68"/>
        <v>0</v>
      </c>
      <c r="E128" s="214">
        <f t="shared" si="65"/>
        <v>8.1284919477493176</v>
      </c>
      <c r="F128" s="215">
        <f t="shared" si="66"/>
        <v>8.1284919477493176</v>
      </c>
      <c r="G128" s="216">
        <f t="shared" si="67"/>
        <v>13.318882861029625</v>
      </c>
      <c r="H128" s="209">
        <f t="shared" si="44"/>
        <v>1.2355413603705563</v>
      </c>
    </row>
    <row r="129" spans="1:8" ht="16.5" customHeight="1">
      <c r="A129" s="232" t="s">
        <v>234</v>
      </c>
      <c r="B129" s="233">
        <f>[175]RECAPAGEM!$D$29</f>
        <v>460.92833333333334</v>
      </c>
      <c r="C129" s="207">
        <f t="shared" si="64"/>
        <v>166.07636136532872</v>
      </c>
      <c r="D129" s="214">
        <f t="shared" si="68"/>
        <v>0</v>
      </c>
      <c r="E129" s="214">
        <f t="shared" si="65"/>
        <v>8.1284919477493176</v>
      </c>
      <c r="F129" s="215">
        <f t="shared" si="66"/>
        <v>8.1284919477493176</v>
      </c>
      <c r="G129" s="216">
        <f t="shared" si="67"/>
        <v>8.7685143670702015</v>
      </c>
      <c r="H129" s="209">
        <f t="shared" si="44"/>
        <v>1.2355413603705563</v>
      </c>
    </row>
    <row r="130" spans="1:8" ht="16.5" customHeight="1">
      <c r="A130" s="232" t="s">
        <v>235</v>
      </c>
      <c r="B130" s="233">
        <f>[176]RECAPAGEM!$D$29</f>
        <v>468.29500000000002</v>
      </c>
      <c r="C130" s="207">
        <f t="shared" si="64"/>
        <v>168.73063342220939</v>
      </c>
      <c r="D130" s="214">
        <f t="shared" si="68"/>
        <v>1.5982238742827004</v>
      </c>
      <c r="E130" s="214">
        <f t="shared" si="65"/>
        <v>9.8566273209600865</v>
      </c>
      <c r="F130" s="215">
        <f t="shared" si="66"/>
        <v>9.8566273209600865</v>
      </c>
      <c r="G130" s="216">
        <f t="shared" si="67"/>
        <v>10.506878731387314</v>
      </c>
      <c r="H130" s="209">
        <f t="shared" si="44"/>
        <v>1.216105275520772</v>
      </c>
    </row>
    <row r="131" spans="1:8" ht="16.5" customHeight="1">
      <c r="A131" s="232" t="s">
        <v>236</v>
      </c>
      <c r="B131" s="233">
        <f>[177]RECAPAGEM!$D$29</f>
        <v>468.29500000000002</v>
      </c>
      <c r="C131" s="207">
        <f t="shared" si="64"/>
        <v>168.73063342220939</v>
      </c>
      <c r="D131" s="214">
        <f t="shared" si="68"/>
        <v>0</v>
      </c>
      <c r="E131" s="214">
        <f t="shared" ref="E131:E136" si="69">100*(B131/B$130-1)</f>
        <v>0</v>
      </c>
      <c r="F131" s="215">
        <f t="shared" ref="F131:F136" si="70">(100*(B131/B119-1))</f>
        <v>3.1422414900685203</v>
      </c>
      <c r="G131" s="216">
        <f t="shared" ref="G131:G136" si="71">100*(B131/B107-1)</f>
        <v>10.506878731387314</v>
      </c>
      <c r="H131" s="209">
        <f t="shared" si="44"/>
        <v>1.216105275520772</v>
      </c>
    </row>
    <row r="132" spans="1:8" ht="16.5" customHeight="1">
      <c r="A132" s="232" t="s">
        <v>237</v>
      </c>
      <c r="B132" s="233">
        <f>[178]RECAPAGEM!$D$29</f>
        <v>468.29500000000002</v>
      </c>
      <c r="C132" s="207">
        <f t="shared" ref="C132:C137" si="72">100*B132/B$8</f>
        <v>168.73063342220939</v>
      </c>
      <c r="D132" s="214">
        <f t="shared" ref="D132:D137" si="73">100*(B132/B131-1)</f>
        <v>0</v>
      </c>
      <c r="E132" s="214">
        <f t="shared" si="69"/>
        <v>0</v>
      </c>
      <c r="F132" s="215">
        <f t="shared" si="70"/>
        <v>3.1422414900685203</v>
      </c>
      <c r="G132" s="216">
        <f t="shared" si="71"/>
        <v>10.506878731387314</v>
      </c>
      <c r="H132" s="209">
        <f t="shared" si="44"/>
        <v>1.216105275520772</v>
      </c>
    </row>
    <row r="133" spans="1:8" ht="16.5" customHeight="1">
      <c r="A133" s="232" t="s">
        <v>238</v>
      </c>
      <c r="B133" s="233">
        <f>[179]RECAPAGEM!$D$29</f>
        <v>468.29500000000002</v>
      </c>
      <c r="C133" s="207">
        <f t="shared" si="72"/>
        <v>168.73063342220939</v>
      </c>
      <c r="D133" s="214">
        <f t="shared" si="73"/>
        <v>0</v>
      </c>
      <c r="E133" s="214">
        <f t="shared" si="69"/>
        <v>0</v>
      </c>
      <c r="F133" s="215">
        <f t="shared" si="70"/>
        <v>3.1195293547712222</v>
      </c>
      <c r="G133" s="216">
        <f t="shared" si="71"/>
        <v>10.376646946519919</v>
      </c>
      <c r="H133" s="209">
        <f t="shared" si="44"/>
        <v>1.216105275520772</v>
      </c>
    </row>
    <row r="134" spans="1:8" ht="16.5" customHeight="1">
      <c r="A134" s="232" t="s">
        <v>239</v>
      </c>
      <c r="B134" s="233">
        <f>[180]RECAPAGEM!$D$29</f>
        <v>468.29500000000002</v>
      </c>
      <c r="C134" s="207">
        <f t="shared" si="72"/>
        <v>168.73063342220939</v>
      </c>
      <c r="D134" s="214">
        <f t="shared" si="73"/>
        <v>0</v>
      </c>
      <c r="E134" s="214">
        <f t="shared" si="69"/>
        <v>0</v>
      </c>
      <c r="F134" s="215">
        <f t="shared" si="70"/>
        <v>3.1195293547712222</v>
      </c>
      <c r="G134" s="216">
        <f t="shared" si="71"/>
        <v>10.376646946519919</v>
      </c>
      <c r="H134" s="209">
        <f t="shared" si="44"/>
        <v>1.216105275520772</v>
      </c>
    </row>
    <row r="135" spans="1:8" ht="16.5" customHeight="1">
      <c r="A135" s="232" t="s">
        <v>240</v>
      </c>
      <c r="B135" s="233">
        <f>[181]RECAPAGEM!$D$29</f>
        <v>468.29500000000002</v>
      </c>
      <c r="C135" s="207">
        <f t="shared" si="72"/>
        <v>168.73063342220939</v>
      </c>
      <c r="D135" s="214">
        <f t="shared" si="73"/>
        <v>0</v>
      </c>
      <c r="E135" s="214">
        <f t="shared" si="69"/>
        <v>0</v>
      </c>
      <c r="F135" s="215">
        <f t="shared" si="70"/>
        <v>1.5982238742827004</v>
      </c>
      <c r="G135" s="216">
        <f t="shared" si="71"/>
        <v>10.376646946519919</v>
      </c>
      <c r="H135" s="209">
        <f t="shared" si="44"/>
        <v>1.216105275520772</v>
      </c>
    </row>
    <row r="136" spans="1:8" ht="16.5" customHeight="1">
      <c r="A136" s="232" t="s">
        <v>241</v>
      </c>
      <c r="B136" s="233">
        <f>[182]RECAPAGEM!$D$29</f>
        <v>471.11166666666668</v>
      </c>
      <c r="C136" s="207">
        <f t="shared" si="72"/>
        <v>169.74550214984026</v>
      </c>
      <c r="D136" s="214">
        <f t="shared" si="73"/>
        <v>0.60147271840755856</v>
      </c>
      <c r="E136" s="214">
        <f t="shared" si="69"/>
        <v>0.60147271840755856</v>
      </c>
      <c r="F136" s="215">
        <f t="shared" si="70"/>
        <v>2.2093094732731355</v>
      </c>
      <c r="G136" s="216">
        <f t="shared" si="71"/>
        <v>11.04053236539626</v>
      </c>
      <c r="H136" s="209">
        <f t="shared" si="44"/>
        <v>1.2088344659970918</v>
      </c>
    </row>
    <row r="137" spans="1:8" ht="16.5" customHeight="1">
      <c r="A137" s="232" t="s">
        <v>242</v>
      </c>
      <c r="B137" s="233">
        <f>[183]RECAPAGEM!$D$29</f>
        <v>468.65000000000003</v>
      </c>
      <c r="C137" s="207">
        <f t="shared" si="72"/>
        <v>168.8585429127333</v>
      </c>
      <c r="D137" s="214">
        <f t="shared" si="73"/>
        <v>-0.52252296872290493</v>
      </c>
      <c r="E137" s="214">
        <f t="shared" ref="E137:E142" si="74">100*(B137/B$130-1)</f>
        <v>7.5806916580356543E-2</v>
      </c>
      <c r="F137" s="215">
        <f t="shared" ref="F137:F142" si="75">(100*(B137/B125-1))</f>
        <v>1.6752423551022133</v>
      </c>
      <c r="G137" s="216">
        <f t="shared" ref="G137:G142" si="76">100*(B137/B113-1)</f>
        <v>9.9399062427912845</v>
      </c>
      <c r="H137" s="209">
        <f t="shared" si="44"/>
        <v>1.2151840819374797</v>
      </c>
    </row>
    <row r="138" spans="1:8" ht="16.5" customHeight="1">
      <c r="A138" s="232" t="s">
        <v>243</v>
      </c>
      <c r="B138" s="233">
        <f>[184]RECAPAGEM!$D$29</f>
        <v>468.65000000000003</v>
      </c>
      <c r="C138" s="207">
        <f t="shared" ref="C138:C143" si="77">100*B138/B$8</f>
        <v>168.8585429127333</v>
      </c>
      <c r="D138" s="214">
        <f t="shared" ref="D138:D143" si="78">100*(B138/B137-1)</f>
        <v>0</v>
      </c>
      <c r="E138" s="214">
        <f t="shared" si="74"/>
        <v>7.5806916580356543E-2</v>
      </c>
      <c r="F138" s="215">
        <f t="shared" si="75"/>
        <v>1.6752423551022133</v>
      </c>
      <c r="G138" s="216">
        <f t="shared" si="76"/>
        <v>9.9399062427912845</v>
      </c>
      <c r="H138" s="209">
        <f t="shared" si="44"/>
        <v>1.2151840819374797</v>
      </c>
    </row>
    <row r="139" spans="1:8" ht="16.5" customHeight="1">
      <c r="A139" s="232" t="s">
        <v>244</v>
      </c>
      <c r="B139" s="233">
        <f>[185]RECAPAGEM!$D$29</f>
        <v>468.65000000000003</v>
      </c>
      <c r="C139" s="207">
        <f t="shared" si="77"/>
        <v>168.8585429127333</v>
      </c>
      <c r="D139" s="214">
        <f t="shared" si="78"/>
        <v>0</v>
      </c>
      <c r="E139" s="214">
        <f t="shared" si="74"/>
        <v>7.5806916580356543E-2</v>
      </c>
      <c r="F139" s="215">
        <f t="shared" si="75"/>
        <v>1.6752423551022133</v>
      </c>
      <c r="G139" s="216">
        <f t="shared" si="76"/>
        <v>9.9399062427912845</v>
      </c>
      <c r="H139" s="209">
        <f t="shared" si="44"/>
        <v>1.2151840819374797</v>
      </c>
    </row>
    <row r="140" spans="1:8" ht="16.5" customHeight="1">
      <c r="A140" s="232" t="s">
        <v>245</v>
      </c>
      <c r="B140" s="233">
        <f>[186]RECAPAGEM!$D$29</f>
        <v>468.65000000000003</v>
      </c>
      <c r="C140" s="207">
        <f t="shared" si="77"/>
        <v>168.8585429127333</v>
      </c>
      <c r="D140" s="214">
        <f t="shared" si="78"/>
        <v>0</v>
      </c>
      <c r="E140" s="214">
        <f t="shared" si="74"/>
        <v>7.5806916580356543E-2</v>
      </c>
      <c r="F140" s="215">
        <f t="shared" si="75"/>
        <v>1.6752423551022133</v>
      </c>
      <c r="G140" s="216">
        <f t="shared" si="76"/>
        <v>9.9399062427912845</v>
      </c>
      <c r="H140" s="209">
        <f t="shared" si="44"/>
        <v>1.2151840819374797</v>
      </c>
    </row>
    <row r="141" spans="1:8" ht="16.5" customHeight="1">
      <c r="A141" s="232" t="s">
        <v>246</v>
      </c>
      <c r="B141" s="233">
        <f>[187]RECAPAGEM!$D$29</f>
        <v>468.65000000000003</v>
      </c>
      <c r="C141" s="207">
        <f t="shared" si="77"/>
        <v>168.8585429127333</v>
      </c>
      <c r="D141" s="214">
        <f t="shared" si="78"/>
        <v>0</v>
      </c>
      <c r="E141" s="214">
        <f t="shared" si="74"/>
        <v>7.5806916580356543E-2</v>
      </c>
      <c r="F141" s="215">
        <f t="shared" si="75"/>
        <v>1.6752423551022133</v>
      </c>
      <c r="G141" s="216">
        <f t="shared" si="76"/>
        <v>9.9399062427912845</v>
      </c>
      <c r="H141" s="209">
        <f t="shared" si="44"/>
        <v>1.2151840819374797</v>
      </c>
    </row>
    <row r="142" spans="1:8" ht="16.5" customHeight="1">
      <c r="A142" s="232" t="s">
        <v>247</v>
      </c>
      <c r="B142" s="233">
        <f>[188]RECAPAGEM!$D$29</f>
        <v>468.65000000000003</v>
      </c>
      <c r="C142" s="207">
        <f t="shared" si="77"/>
        <v>168.8585429127333</v>
      </c>
      <c r="D142" s="214">
        <f t="shared" si="78"/>
        <v>0</v>
      </c>
      <c r="E142" s="214">
        <f t="shared" si="74"/>
        <v>7.5806916580356543E-2</v>
      </c>
      <c r="F142" s="215">
        <f t="shared" si="75"/>
        <v>7.5806916580356543E-2</v>
      </c>
      <c r="G142" s="216">
        <f t="shared" si="76"/>
        <v>9.9399062427912845</v>
      </c>
      <c r="H142" s="209">
        <f t="shared" si="44"/>
        <v>1.2151840819374797</v>
      </c>
    </row>
    <row r="143" spans="1:8" ht="16.5" customHeight="1">
      <c r="A143" s="232" t="s">
        <v>248</v>
      </c>
      <c r="B143" s="233">
        <f>[189]RECAPAGEM!$D$29</f>
        <v>468.65000000000003</v>
      </c>
      <c r="C143" s="207">
        <f t="shared" si="77"/>
        <v>168.8585429127333</v>
      </c>
      <c r="D143" s="214">
        <f t="shared" si="78"/>
        <v>0</v>
      </c>
      <c r="E143" s="214">
        <f t="shared" ref="E143:E148" si="79">100*(B143/B$142-1)</f>
        <v>0</v>
      </c>
      <c r="F143" s="215">
        <f t="shared" ref="F143:F148" si="80">(100*(B143/B131-1))</f>
        <v>7.5806916580356543E-2</v>
      </c>
      <c r="G143" s="216">
        <f t="shared" ref="G143:G148" si="81">100*(B143/B119-1)</f>
        <v>3.2204304430340169</v>
      </c>
      <c r="H143" s="209">
        <f t="shared" si="44"/>
        <v>1.2151840819374797</v>
      </c>
    </row>
    <row r="144" spans="1:8" ht="16.5" customHeight="1">
      <c r="A144" s="234" t="s">
        <v>249</v>
      </c>
      <c r="B144" s="233">
        <f>[190]RECAPAGEM!$D$29</f>
        <v>474.48333333333335</v>
      </c>
      <c r="C144" s="207">
        <f t="shared" ref="C144:C150" si="82">100*B144/B$8</f>
        <v>170.96034205279719</v>
      </c>
      <c r="D144" s="214">
        <f t="shared" ref="D144:D149" si="83">100*(B144/B143-1)</f>
        <v>1.244709982574066</v>
      </c>
      <c r="E144" s="214">
        <f t="shared" si="79"/>
        <v>1.244709982574066</v>
      </c>
      <c r="F144" s="215">
        <f t="shared" si="80"/>
        <v>1.3214604754125725</v>
      </c>
      <c r="G144" s="216">
        <f t="shared" si="81"/>
        <v>4.5052254448143758</v>
      </c>
      <c r="H144" s="209">
        <f t="shared" si="44"/>
        <v>1.2002445185991779</v>
      </c>
    </row>
    <row r="145" spans="1:8" ht="16.5" customHeight="1">
      <c r="A145" s="234" t="s">
        <v>250</v>
      </c>
      <c r="B145" s="233">
        <f>[191]RECAPAGEM!$D$29</f>
        <v>475.98333333333335</v>
      </c>
      <c r="C145" s="207">
        <f t="shared" si="82"/>
        <v>171.50080468881362</v>
      </c>
      <c r="D145" s="214">
        <f t="shared" si="83"/>
        <v>0.31613333801678856</v>
      </c>
      <c r="E145" s="214">
        <f t="shared" si="79"/>
        <v>1.564778263807387</v>
      </c>
      <c r="F145" s="215">
        <f t="shared" si="80"/>
        <v>1.6417713905408693</v>
      </c>
      <c r="G145" s="216">
        <f t="shared" si="81"/>
        <v>4.8125162857782566</v>
      </c>
      <c r="H145" s="209">
        <f t="shared" si="44"/>
        <v>1.1964621030148113</v>
      </c>
    </row>
    <row r="146" spans="1:8" ht="16.5" customHeight="1">
      <c r="A146" s="234" t="s">
        <v>252</v>
      </c>
      <c r="B146" s="233">
        <f>[192]RECAPAGEM!$D$29</f>
        <v>475.98333333333335</v>
      </c>
      <c r="C146" s="207">
        <f t="shared" si="82"/>
        <v>171.50080468881362</v>
      </c>
      <c r="D146" s="214">
        <f t="shared" si="83"/>
        <v>0</v>
      </c>
      <c r="E146" s="214">
        <f t="shared" si="79"/>
        <v>1.564778263807387</v>
      </c>
      <c r="F146" s="215">
        <f t="shared" si="80"/>
        <v>1.6417713905408693</v>
      </c>
      <c r="G146" s="216">
        <f t="shared" si="81"/>
        <v>4.8125162857782566</v>
      </c>
      <c r="H146" s="209">
        <f t="shared" si="44"/>
        <v>1.1964621030148113</v>
      </c>
    </row>
    <row r="147" spans="1:8" ht="16.5" customHeight="1">
      <c r="A147" s="234" t="s">
        <v>253</v>
      </c>
      <c r="B147" s="233">
        <f>[193]RECAPAGEM!$D$29</f>
        <v>475.98333333333335</v>
      </c>
      <c r="C147" s="207">
        <f t="shared" si="82"/>
        <v>171.50080468881362</v>
      </c>
      <c r="D147" s="214">
        <f t="shared" si="83"/>
        <v>0</v>
      </c>
      <c r="E147" s="214">
        <f t="shared" si="79"/>
        <v>1.564778263807387</v>
      </c>
      <c r="F147" s="215">
        <f t="shared" si="80"/>
        <v>1.6417713905408693</v>
      </c>
      <c r="G147" s="216">
        <f t="shared" si="81"/>
        <v>3.2662344471483307</v>
      </c>
      <c r="H147" s="209">
        <f t="shared" si="44"/>
        <v>1.1964621030148113</v>
      </c>
    </row>
    <row r="148" spans="1:8" ht="16.5" customHeight="1">
      <c r="A148" s="234" t="s">
        <v>254</v>
      </c>
      <c r="B148" s="233">
        <f>[194]RECAPAGEM!$D$29</f>
        <v>475.98333333333335</v>
      </c>
      <c r="C148" s="207">
        <f t="shared" si="82"/>
        <v>171.50080468881362</v>
      </c>
      <c r="D148" s="214">
        <f t="shared" si="83"/>
        <v>0</v>
      </c>
      <c r="E148" s="214">
        <f t="shared" si="79"/>
        <v>1.564778263807387</v>
      </c>
      <c r="F148" s="215">
        <f t="shared" si="80"/>
        <v>1.0340789692464991</v>
      </c>
      <c r="G148" s="216">
        <f t="shared" si="81"/>
        <v>3.2662344471483307</v>
      </c>
      <c r="H148" s="209">
        <f t="shared" si="44"/>
        <v>1.1964621030148113</v>
      </c>
    </row>
    <row r="149" spans="1:8" ht="16.5" customHeight="1">
      <c r="A149" s="234" t="s">
        <v>255</v>
      </c>
      <c r="B149" s="233">
        <f>[195]RECAPAGEM!$D$29</f>
        <v>475.98333333333335</v>
      </c>
      <c r="C149" s="207">
        <f t="shared" si="82"/>
        <v>171.50080468881362</v>
      </c>
      <c r="D149" s="214">
        <f t="shared" si="83"/>
        <v>0</v>
      </c>
      <c r="E149" s="214">
        <f t="shared" ref="E149:E154" si="84">100*(B149/B$142-1)</f>
        <v>1.564778263807387</v>
      </c>
      <c r="F149" s="215">
        <f t="shared" ref="F149:F154" si="85">(100*(B149/B137-1))</f>
        <v>1.564778263807387</v>
      </c>
      <c r="G149" s="216">
        <f t="shared" ref="G149:G154" si="86">100*(B149/B125-1)</f>
        <v>3.2662344471483307</v>
      </c>
      <c r="H149" s="209">
        <f t="shared" si="44"/>
        <v>1.1964621030148113</v>
      </c>
    </row>
    <row r="150" spans="1:8" ht="16.5" customHeight="1">
      <c r="A150" s="234" t="str">
        <f>Pneu!A150</f>
        <v>AGOSTO|15</v>
      </c>
      <c r="B150" s="233">
        <f>[196]RECAPAGEM!$D$29</f>
        <v>475.98333333333335</v>
      </c>
      <c r="C150" s="207">
        <f t="shared" si="82"/>
        <v>171.50080468881362</v>
      </c>
      <c r="D150" s="214">
        <f t="shared" ref="D150:D155" si="87">100*(B150/B149-1)</f>
        <v>0</v>
      </c>
      <c r="E150" s="214">
        <f t="shared" si="84"/>
        <v>1.564778263807387</v>
      </c>
      <c r="F150" s="215">
        <f t="shared" si="85"/>
        <v>1.564778263807387</v>
      </c>
      <c r="G150" s="216">
        <f t="shared" si="86"/>
        <v>3.2662344471483307</v>
      </c>
      <c r="H150" s="209">
        <f t="shared" si="44"/>
        <v>1.1964621030148113</v>
      </c>
    </row>
    <row r="151" spans="1:8" ht="16.5" customHeight="1">
      <c r="A151" s="234" t="str">
        <f>Pneu!A151</f>
        <v>SETEMBRO|15</v>
      </c>
      <c r="B151" s="233">
        <f>[197]RECAPAGEM!$D$29</f>
        <v>475.98333333333335</v>
      </c>
      <c r="C151" s="207">
        <f t="shared" ref="C151:C157" si="88">100*B151/B$8</f>
        <v>171.50080468881362</v>
      </c>
      <c r="D151" s="214">
        <f t="shared" si="87"/>
        <v>0</v>
      </c>
      <c r="E151" s="214">
        <f t="shared" si="84"/>
        <v>1.564778263807387</v>
      </c>
      <c r="F151" s="215">
        <f t="shared" si="85"/>
        <v>1.564778263807387</v>
      </c>
      <c r="G151" s="216">
        <f t="shared" si="86"/>
        <v>3.2662344471483307</v>
      </c>
      <c r="H151" s="209">
        <f t="shared" si="44"/>
        <v>1.1964621030148113</v>
      </c>
    </row>
    <row r="152" spans="1:8" ht="16.5" customHeight="1">
      <c r="A152" s="234" t="str">
        <f>Pneu!A152</f>
        <v>OUTUBRO|15</v>
      </c>
      <c r="B152" s="233">
        <f>[198]RECAPAGEM!$D$29</f>
        <v>475.98333333333335</v>
      </c>
      <c r="C152" s="207">
        <f t="shared" si="88"/>
        <v>171.50080468881362</v>
      </c>
      <c r="D152" s="214">
        <f t="shared" si="87"/>
        <v>0</v>
      </c>
      <c r="E152" s="214">
        <f t="shared" si="84"/>
        <v>1.564778263807387</v>
      </c>
      <c r="F152" s="215">
        <f t="shared" si="85"/>
        <v>1.564778263807387</v>
      </c>
      <c r="G152" s="216">
        <f t="shared" si="86"/>
        <v>3.2662344471483307</v>
      </c>
      <c r="H152" s="209">
        <f t="shared" si="44"/>
        <v>1.1964621030148113</v>
      </c>
    </row>
    <row r="153" spans="1:8" ht="16.5" customHeight="1">
      <c r="A153" s="234" t="str">
        <f>Pneu!A153</f>
        <v>NOVEMBRO|15</v>
      </c>
      <c r="B153" s="233">
        <f>[199]RECAPAGEM!$D$29</f>
        <v>475.98333333333335</v>
      </c>
      <c r="C153" s="207">
        <f t="shared" si="88"/>
        <v>171.50080468881362</v>
      </c>
      <c r="D153" s="214">
        <f t="shared" si="87"/>
        <v>0</v>
      </c>
      <c r="E153" s="214">
        <f t="shared" si="84"/>
        <v>1.564778263807387</v>
      </c>
      <c r="F153" s="215">
        <f t="shared" si="85"/>
        <v>1.564778263807387</v>
      </c>
      <c r="G153" s="216">
        <f t="shared" si="86"/>
        <v>3.2662344471483307</v>
      </c>
      <c r="H153" s="209">
        <f t="shared" si="44"/>
        <v>1.1964621030148113</v>
      </c>
    </row>
    <row r="154" spans="1:8" ht="16.5" customHeight="1">
      <c r="A154" s="234" t="str">
        <f>Pneu!A154</f>
        <v>DEZEMBRO|15</v>
      </c>
      <c r="B154" s="233">
        <f>[200]RECAPAGEM!$D$29</f>
        <v>475.98333333333335</v>
      </c>
      <c r="C154" s="207">
        <f t="shared" si="88"/>
        <v>171.50080468881362</v>
      </c>
      <c r="D154" s="214">
        <f t="shared" si="87"/>
        <v>0</v>
      </c>
      <c r="E154" s="214">
        <f t="shared" si="84"/>
        <v>1.564778263807387</v>
      </c>
      <c r="F154" s="215">
        <f t="shared" si="85"/>
        <v>1.564778263807387</v>
      </c>
      <c r="G154" s="216">
        <f t="shared" si="86"/>
        <v>1.6417713905408693</v>
      </c>
      <c r="H154" s="209">
        <f t="shared" si="44"/>
        <v>1.1964621030148113</v>
      </c>
    </row>
    <row r="155" spans="1:8" ht="16.5" customHeight="1">
      <c r="A155" s="234" t="str">
        <f>Pneu!A155</f>
        <v>JANEIRO|16</v>
      </c>
      <c r="B155" s="233">
        <f>[201]RECAPAGEM!$D$29</f>
        <v>475.98333333333335</v>
      </c>
      <c r="C155" s="207">
        <f t="shared" si="88"/>
        <v>171.50080468881362</v>
      </c>
      <c r="D155" s="214">
        <f t="shared" si="87"/>
        <v>0</v>
      </c>
      <c r="E155" s="214">
        <f t="shared" ref="E155:E160" si="89">100*(B155/B$154-1)</f>
        <v>0</v>
      </c>
      <c r="F155" s="215">
        <f t="shared" ref="F155:F160" si="90">(100*(B155/B143-1))</f>
        <v>1.564778263807387</v>
      </c>
      <c r="G155" s="216">
        <f t="shared" ref="G155:G160" si="91">100*(B155/B131-1)</f>
        <v>1.6417713905408693</v>
      </c>
      <c r="H155" s="209">
        <f t="shared" si="44"/>
        <v>1.1964621030148113</v>
      </c>
    </row>
    <row r="156" spans="1:8" ht="16.5" customHeight="1">
      <c r="A156" s="234" t="str">
        <f>Pneu!A156</f>
        <v>FEVEREIRO|16</v>
      </c>
      <c r="B156" s="233">
        <f>[202]RECAPAGEM!$D$29</f>
        <v>475.98333333333335</v>
      </c>
      <c r="C156" s="207">
        <f t="shared" si="88"/>
        <v>171.50080468881362</v>
      </c>
      <c r="D156" s="214">
        <f t="shared" ref="D156:D161" si="92">100*(B156/B155-1)</f>
        <v>0</v>
      </c>
      <c r="E156" s="214">
        <f t="shared" si="89"/>
        <v>0</v>
      </c>
      <c r="F156" s="215">
        <f t="shared" si="90"/>
        <v>0.31613333801678856</v>
      </c>
      <c r="G156" s="216">
        <f t="shared" si="91"/>
        <v>1.6417713905408693</v>
      </c>
      <c r="H156" s="209">
        <f t="shared" si="44"/>
        <v>1.1964621030148113</v>
      </c>
    </row>
    <row r="157" spans="1:8" ht="16.5" customHeight="1">
      <c r="A157" s="234" t="str">
        <f>Pneu!A157</f>
        <v>MARÇO|16</v>
      </c>
      <c r="B157" s="233">
        <f>[203]RECAPAGEM!$D$29</f>
        <v>475.98333333333335</v>
      </c>
      <c r="C157" s="207">
        <f t="shared" si="88"/>
        <v>171.50080468881362</v>
      </c>
      <c r="D157" s="214">
        <f t="shared" si="92"/>
        <v>0</v>
      </c>
      <c r="E157" s="214">
        <f t="shared" si="89"/>
        <v>0</v>
      </c>
      <c r="F157" s="215">
        <f t="shared" si="90"/>
        <v>0</v>
      </c>
      <c r="G157" s="216">
        <f t="shared" si="91"/>
        <v>1.6417713905408693</v>
      </c>
      <c r="H157" s="209">
        <f t="shared" si="44"/>
        <v>1.1964621030148113</v>
      </c>
    </row>
    <row r="158" spans="1:8" ht="16.5" customHeight="1">
      <c r="A158" s="234" t="str">
        <f>Pneu!A158</f>
        <v>ABRIL|16</v>
      </c>
      <c r="B158" s="233">
        <f>[204]RECAPAGEM!$D$29</f>
        <v>475.98333333333335</v>
      </c>
      <c r="C158" s="207">
        <f t="shared" ref="C158:C164" si="93">100*B158/B$8</f>
        <v>171.50080468881362</v>
      </c>
      <c r="D158" s="214">
        <f t="shared" si="92"/>
        <v>0</v>
      </c>
      <c r="E158" s="214">
        <f t="shared" si="89"/>
        <v>0</v>
      </c>
      <c r="F158" s="215">
        <f t="shared" si="90"/>
        <v>0</v>
      </c>
      <c r="G158" s="216">
        <f t="shared" si="91"/>
        <v>1.6417713905408693</v>
      </c>
      <c r="H158" s="209">
        <f t="shared" si="44"/>
        <v>1.1964621030148113</v>
      </c>
    </row>
    <row r="159" spans="1:8" ht="16.5" customHeight="1">
      <c r="A159" s="234" t="str">
        <f>Pneu!A159</f>
        <v>MAIO|16</v>
      </c>
      <c r="B159" s="233">
        <f>[205]RECAPAGEM!$D$29</f>
        <v>480.98333333333335</v>
      </c>
      <c r="C159" s="207">
        <f t="shared" si="93"/>
        <v>173.30234680886838</v>
      </c>
      <c r="D159" s="214">
        <f t="shared" si="92"/>
        <v>1.0504569487727267</v>
      </c>
      <c r="E159" s="214">
        <f t="shared" si="89"/>
        <v>1.0504569487727267</v>
      </c>
      <c r="F159" s="215">
        <f t="shared" si="90"/>
        <v>1.0504569487727267</v>
      </c>
      <c r="G159" s="216">
        <f t="shared" si="91"/>
        <v>2.7094744409684735</v>
      </c>
      <c r="H159" s="209">
        <f t="shared" si="44"/>
        <v>1.1840244360511449</v>
      </c>
    </row>
    <row r="160" spans="1:8" ht="16.5" customHeight="1">
      <c r="A160" s="234" t="str">
        <f>Pneu!A160</f>
        <v>JUNHO|16</v>
      </c>
      <c r="B160" s="233">
        <f>[206]RECAPAGEM!$D$29</f>
        <v>480.98333333333335</v>
      </c>
      <c r="C160" s="207">
        <f t="shared" si="93"/>
        <v>173.30234680886838</v>
      </c>
      <c r="D160" s="214">
        <f t="shared" si="92"/>
        <v>0</v>
      </c>
      <c r="E160" s="214">
        <f t="shared" si="89"/>
        <v>1.0504569487727267</v>
      </c>
      <c r="F160" s="215">
        <f t="shared" si="90"/>
        <v>1.0504569487727267</v>
      </c>
      <c r="G160" s="216">
        <f t="shared" si="91"/>
        <v>2.0953984724074726</v>
      </c>
      <c r="H160" s="209">
        <f t="shared" si="44"/>
        <v>1.1840244360511449</v>
      </c>
    </row>
    <row r="161" spans="1:8" ht="16.5" customHeight="1">
      <c r="A161" s="234" t="str">
        <f>Pneu!A161</f>
        <v>JULHO|16</v>
      </c>
      <c r="B161" s="233">
        <f>[207]RECAPAGEM!$D$29</f>
        <v>480.98333333333335</v>
      </c>
      <c r="C161" s="207">
        <f t="shared" si="93"/>
        <v>173.30234680886838</v>
      </c>
      <c r="D161" s="214">
        <f t="shared" si="92"/>
        <v>0</v>
      </c>
      <c r="E161" s="214">
        <f t="shared" ref="E161" si="94">100*(B161/B$154-1)</f>
        <v>1.0504569487727267</v>
      </c>
      <c r="F161" s="215">
        <f t="shared" ref="F161" si="95">(100*(B161/B149-1))</f>
        <v>1.0504569487727267</v>
      </c>
      <c r="G161" s="216">
        <f t="shared" ref="G161" si="96">100*(B161/B137-1)</f>
        <v>2.631672534585161</v>
      </c>
      <c r="H161" s="209">
        <f t="shared" ref="H161:H211" si="97">+B$211/B161</f>
        <v>1.1840244360511449</v>
      </c>
    </row>
    <row r="162" spans="1:8" ht="16.5" customHeight="1">
      <c r="A162" s="234" t="str">
        <f>Pneu!A162</f>
        <v>AGOSTO|16</v>
      </c>
      <c r="B162" s="233">
        <f>[208]RECAPAGEM!$D$29</f>
        <v>480.98333333333335</v>
      </c>
      <c r="C162" s="207">
        <f t="shared" si="93"/>
        <v>173.30234680886838</v>
      </c>
      <c r="D162" s="214">
        <f t="shared" ref="D162" si="98">100*(B162/B161-1)</f>
        <v>0</v>
      </c>
      <c r="E162" s="214">
        <f t="shared" ref="E162" si="99">100*(B162/B$154-1)</f>
        <v>1.0504569487727267</v>
      </c>
      <c r="F162" s="215">
        <f t="shared" ref="F162" si="100">(100*(B162/B150-1))</f>
        <v>1.0504569487727267</v>
      </c>
      <c r="G162" s="216">
        <f t="shared" ref="G162" si="101">100*(B162/B138-1)</f>
        <v>2.631672534585161</v>
      </c>
      <c r="H162" s="209">
        <f t="shared" si="97"/>
        <v>1.1840244360511449</v>
      </c>
    </row>
    <row r="163" spans="1:8" ht="16.5" customHeight="1">
      <c r="A163" s="234" t="str">
        <f>Pneu!A163</f>
        <v>SETEMBRO|16</v>
      </c>
      <c r="B163" s="233">
        <f>[209]RECAPAGEM!$D$29</f>
        <v>480.98333333333335</v>
      </c>
      <c r="C163" s="207">
        <f t="shared" si="93"/>
        <v>173.30234680886838</v>
      </c>
      <c r="D163" s="214">
        <f t="shared" ref="D163" si="102">100*(B163/B162-1)</f>
        <v>0</v>
      </c>
      <c r="E163" s="214">
        <f t="shared" ref="E163" si="103">100*(B163/B$154-1)</f>
        <v>1.0504569487727267</v>
      </c>
      <c r="F163" s="215">
        <f t="shared" ref="F163" si="104">(100*(B163/B151-1))</f>
        <v>1.0504569487727267</v>
      </c>
      <c r="G163" s="216">
        <f t="shared" ref="G163" si="105">100*(B163/B139-1)</f>
        <v>2.631672534585161</v>
      </c>
      <c r="H163" s="209">
        <f t="shared" si="97"/>
        <v>1.1840244360511449</v>
      </c>
    </row>
    <row r="164" spans="1:8" ht="16.5" customHeight="1">
      <c r="A164" s="234" t="str">
        <f>Pneu!A164</f>
        <v>OUTUBRO|16</v>
      </c>
      <c r="B164" s="233">
        <f>[210]RECAPAGEM!$D$29</f>
        <v>480.98333333333335</v>
      </c>
      <c r="C164" s="207">
        <f t="shared" si="93"/>
        <v>173.30234680886838</v>
      </c>
      <c r="D164" s="214">
        <f t="shared" ref="D164" si="106">100*(B164/B163-1)</f>
        <v>0</v>
      </c>
      <c r="E164" s="214">
        <f t="shared" ref="E164" si="107">100*(B164/B$154-1)</f>
        <v>1.0504569487727267</v>
      </c>
      <c r="F164" s="215">
        <f t="shared" ref="F164" si="108">(100*(B164/B152-1))</f>
        <v>1.0504569487727267</v>
      </c>
      <c r="G164" s="216">
        <f t="shared" ref="G164" si="109">100*(B164/B140-1)</f>
        <v>2.631672534585161</v>
      </c>
      <c r="H164" s="209">
        <f t="shared" si="97"/>
        <v>1.1840244360511449</v>
      </c>
    </row>
    <row r="165" spans="1:8" ht="16.5" customHeight="1">
      <c r="A165" s="234" t="str">
        <f>Pneu!A165</f>
        <v>NOVEMBRO|16</v>
      </c>
      <c r="B165" s="233">
        <f>[211]RECAPAGEM!$D$29</f>
        <v>480.98333333333335</v>
      </c>
      <c r="C165" s="207">
        <f t="shared" ref="C165" si="110">100*B165/B$8</f>
        <v>173.30234680886838</v>
      </c>
      <c r="D165" s="214">
        <f t="shared" ref="D165" si="111">100*(B165/B164-1)</f>
        <v>0</v>
      </c>
      <c r="E165" s="214">
        <f t="shared" ref="E165" si="112">100*(B165/B$154-1)</f>
        <v>1.0504569487727267</v>
      </c>
      <c r="F165" s="215">
        <f t="shared" ref="F165" si="113">(100*(B165/B153-1))</f>
        <v>1.0504569487727267</v>
      </c>
      <c r="G165" s="216">
        <f t="shared" ref="G165" si="114">100*(B165/B141-1)</f>
        <v>2.631672534585161</v>
      </c>
      <c r="H165" s="209">
        <f t="shared" si="97"/>
        <v>1.1840244360511449</v>
      </c>
    </row>
    <row r="166" spans="1:8" ht="16.5" customHeight="1">
      <c r="A166" s="234" t="str">
        <f>Pneu!A166</f>
        <v>DEZEMBRO|16</v>
      </c>
      <c r="B166" s="233">
        <f>[212]RECAPAGEM!$D$29</f>
        <v>480.98333333333335</v>
      </c>
      <c r="C166" s="207">
        <f t="shared" ref="C166" si="115">100*B166/B$8</f>
        <v>173.30234680886838</v>
      </c>
      <c r="D166" s="214">
        <f t="shared" ref="D166" si="116">100*(B166/B165-1)</f>
        <v>0</v>
      </c>
      <c r="E166" s="214">
        <f t="shared" ref="E166" si="117">100*(B166/B$154-1)</f>
        <v>1.0504569487727267</v>
      </c>
      <c r="F166" s="215">
        <f t="shared" ref="F166" si="118">(100*(B166/B154-1))</f>
        <v>1.0504569487727267</v>
      </c>
      <c r="G166" s="216">
        <f t="shared" ref="G166" si="119">100*(B166/B142-1)</f>
        <v>2.631672534585161</v>
      </c>
      <c r="H166" s="209">
        <f t="shared" si="97"/>
        <v>1.1840244360511449</v>
      </c>
    </row>
    <row r="167" spans="1:8" ht="16.5" customHeight="1">
      <c r="A167" s="234" t="str">
        <f>Pneu!A167</f>
        <v>JANEIRO|17</v>
      </c>
      <c r="B167" s="233">
        <f>[213]RECAPAGEM!$D$29</f>
        <v>488.31666666666666</v>
      </c>
      <c r="C167" s="207">
        <f t="shared" ref="C167" si="120">100*B167/B$8</f>
        <v>175.9446085849487</v>
      </c>
      <c r="D167" s="214">
        <f t="shared" ref="D167" si="121">100*(B167/B166-1)</f>
        <v>1.5246543539277235</v>
      </c>
      <c r="E167" s="214">
        <f t="shared" ref="E167:E172" si="122">100*(B167/B$166-1)</f>
        <v>1.5246543539277235</v>
      </c>
      <c r="F167" s="215">
        <f t="shared" ref="F167" si="123">(100*(B167/B155-1))</f>
        <v>2.5911271403060265</v>
      </c>
      <c r="G167" s="216">
        <f t="shared" ref="G167" si="124">100*(B167/B143-1)</f>
        <v>4.1964507983925481</v>
      </c>
      <c r="H167" s="209">
        <f t="shared" si="97"/>
        <v>1.1662432574490595</v>
      </c>
    </row>
    <row r="168" spans="1:8" ht="16.5" customHeight="1">
      <c r="A168" s="234" t="str">
        <f>Pneu!A168</f>
        <v>FEVEREIRO|17</v>
      </c>
      <c r="B168" s="233">
        <f>[214]RECAPAGEM!$D$29</f>
        <v>488.31666666666666</v>
      </c>
      <c r="C168" s="207">
        <f t="shared" ref="C168" si="125">100*B168/B$8</f>
        <v>175.9446085849487</v>
      </c>
      <c r="D168" s="214">
        <f t="shared" ref="D168" si="126">100*(B168/B167-1)</f>
        <v>0</v>
      </c>
      <c r="E168" s="214">
        <f t="shared" si="122"/>
        <v>1.5246543539277235</v>
      </c>
      <c r="F168" s="215">
        <f t="shared" ref="F168" si="127">(100*(B168/B156-1))</f>
        <v>2.5911271403060265</v>
      </c>
      <c r="G168" s="216">
        <f t="shared" ref="G168" si="128">100*(B168/B144-1)</f>
        <v>2.9154518950437192</v>
      </c>
      <c r="H168" s="209">
        <f t="shared" si="97"/>
        <v>1.1662432574490595</v>
      </c>
    </row>
    <row r="169" spans="1:8" ht="16.5" customHeight="1">
      <c r="A169" s="234" t="str">
        <f>Pneu!A169</f>
        <v>MARÇO|17</v>
      </c>
      <c r="B169" s="233">
        <f>[215]RECAPAGEM!$D$29</f>
        <v>488.31666666666666</v>
      </c>
      <c r="C169" s="207">
        <f t="shared" ref="C169" si="129">100*B169/B$8</f>
        <v>175.9446085849487</v>
      </c>
      <c r="D169" s="214">
        <f t="shared" ref="D169" si="130">100*(B169/B168-1)</f>
        <v>0</v>
      </c>
      <c r="E169" s="214">
        <f t="shared" si="122"/>
        <v>1.5246543539277235</v>
      </c>
      <c r="F169" s="215">
        <f t="shared" ref="F169" si="131">(100*(B169/B157-1))</f>
        <v>2.5911271403060265</v>
      </c>
      <c r="G169" s="216">
        <f t="shared" ref="G169" si="132">100*(B169/B145-1)</f>
        <v>2.5911271403060265</v>
      </c>
      <c r="H169" s="209">
        <f t="shared" si="97"/>
        <v>1.1662432574490595</v>
      </c>
    </row>
    <row r="170" spans="1:8" ht="16.5" customHeight="1">
      <c r="A170" s="234" t="str">
        <f>Pneu!A170</f>
        <v>ABRIL|17</v>
      </c>
      <c r="B170" s="233">
        <f>[216]RECAPAGEM!$D$29</f>
        <v>488.31666666666666</v>
      </c>
      <c r="C170" s="207">
        <f t="shared" ref="C170" si="133">100*B170/B$8</f>
        <v>175.9446085849487</v>
      </c>
      <c r="D170" s="214">
        <f t="shared" ref="D170" si="134">100*(B170/B169-1)</f>
        <v>0</v>
      </c>
      <c r="E170" s="214">
        <f t="shared" si="122"/>
        <v>1.5246543539277235</v>
      </c>
      <c r="F170" s="215">
        <f t="shared" ref="F170" si="135">(100*(B170/B158-1))</f>
        <v>2.5911271403060265</v>
      </c>
      <c r="G170" s="216">
        <f t="shared" ref="G170" si="136">100*(B170/B146-1)</f>
        <v>2.5911271403060265</v>
      </c>
      <c r="H170" s="209">
        <f t="shared" si="97"/>
        <v>1.1662432574490595</v>
      </c>
    </row>
    <row r="171" spans="1:8" ht="16.5" customHeight="1">
      <c r="A171" s="234" t="str">
        <f>Pneu!A171</f>
        <v>MAIO|17</v>
      </c>
      <c r="B171" s="233">
        <f>[217]RECAPAGEM!$D$29</f>
        <v>488.31666666666666</v>
      </c>
      <c r="C171" s="207">
        <f t="shared" ref="C171" si="137">100*B171/B$8</f>
        <v>175.9446085849487</v>
      </c>
      <c r="D171" s="214">
        <f t="shared" ref="D171" si="138">100*(B171/B170-1)</f>
        <v>0</v>
      </c>
      <c r="E171" s="214">
        <f t="shared" si="122"/>
        <v>1.5246543539277235</v>
      </c>
      <c r="F171" s="215">
        <f t="shared" ref="F171" si="139">(100*(B171/B159-1))</f>
        <v>1.5246543539277235</v>
      </c>
      <c r="G171" s="216">
        <f t="shared" ref="G171" si="140">100*(B171/B147-1)</f>
        <v>2.5911271403060265</v>
      </c>
      <c r="H171" s="209">
        <f t="shared" si="97"/>
        <v>1.1662432574490595</v>
      </c>
    </row>
    <row r="172" spans="1:8" ht="16.5" customHeight="1">
      <c r="A172" s="234" t="str">
        <f>Pneu!A172</f>
        <v>JUNHO|17</v>
      </c>
      <c r="B172" s="233">
        <f>[218]RECAPAGEM!$D$29</f>
        <v>488.31666666666666</v>
      </c>
      <c r="C172" s="207">
        <f t="shared" ref="C172" si="141">100*B172/B$8</f>
        <v>175.9446085849487</v>
      </c>
      <c r="D172" s="214">
        <f t="shared" ref="D172" si="142">100*(B172/B171-1)</f>
        <v>0</v>
      </c>
      <c r="E172" s="214">
        <f t="shared" si="122"/>
        <v>1.5246543539277235</v>
      </c>
      <c r="F172" s="215">
        <f t="shared" ref="F172" si="143">(100*(B172/B160-1))</f>
        <v>1.5246543539277235</v>
      </c>
      <c r="G172" s="216">
        <f t="shared" ref="G172" si="144">100*(B172/B148-1)</f>
        <v>2.5911271403060265</v>
      </c>
      <c r="H172" s="209">
        <f t="shared" si="97"/>
        <v>1.1662432574490595</v>
      </c>
    </row>
    <row r="173" spans="1:8" ht="16.5" customHeight="1">
      <c r="A173" s="234" t="str">
        <f>Pneu!A173</f>
        <v>JULHO|17</v>
      </c>
      <c r="B173" s="233">
        <f>[219]RECAPAGEM!$D$29</f>
        <v>488.31666666666666</v>
      </c>
      <c r="C173" s="207">
        <f t="shared" ref="C173" si="145">100*B173/B$8</f>
        <v>175.9446085849487</v>
      </c>
      <c r="D173" s="214">
        <f t="shared" ref="D173" si="146">100*(B173/B172-1)</f>
        <v>0</v>
      </c>
      <c r="E173" s="214">
        <f t="shared" ref="E173" si="147">100*(B173/B$166-1)</f>
        <v>1.5246543539277235</v>
      </c>
      <c r="F173" s="215">
        <f t="shared" ref="F173" si="148">(100*(B173/B161-1))</f>
        <v>1.5246543539277235</v>
      </c>
      <c r="G173" s="216">
        <f t="shared" ref="G173" si="149">100*(B173/B149-1)</f>
        <v>2.5911271403060265</v>
      </c>
      <c r="H173" s="209">
        <f t="shared" si="97"/>
        <v>1.1662432574490595</v>
      </c>
    </row>
    <row r="174" spans="1:8" ht="16.5" customHeight="1">
      <c r="A174" s="234" t="str">
        <f>Pneu!A174</f>
        <v>AGOSTO|17</v>
      </c>
      <c r="B174" s="233">
        <f>[220]RECAPAGEM!$D$29</f>
        <v>501.8</v>
      </c>
      <c r="C174" s="207">
        <f t="shared" ref="C174" si="150">100*B174/B$8</f>
        <v>180.80276716869639</v>
      </c>
      <c r="D174" s="214">
        <f t="shared" ref="D174" si="151">100*(B174/B173-1)</f>
        <v>2.7611863886139565</v>
      </c>
      <c r="E174" s="214">
        <f t="shared" ref="E174" si="152">100*(B174/B$166-1)</f>
        <v>4.3279392910357206</v>
      </c>
      <c r="F174" s="215">
        <f t="shared" ref="F174" si="153">(100*(B174/B162-1))</f>
        <v>4.3279392910357206</v>
      </c>
      <c r="G174" s="216">
        <f t="shared" ref="G174" si="154">100*(B174/B150-1)</f>
        <v>5.4238593788297873</v>
      </c>
      <c r="H174" s="209">
        <f t="shared" si="97"/>
        <v>1.1349063770426464</v>
      </c>
    </row>
    <row r="175" spans="1:8" ht="16.5" customHeight="1">
      <c r="A175" s="234" t="str">
        <f>Pneu!A175</f>
        <v>SETEMBRO|17</v>
      </c>
      <c r="B175" s="233">
        <f>[221]RECAPAGEM!$D$29</f>
        <v>501.8</v>
      </c>
      <c r="C175" s="207">
        <f t="shared" ref="C175" si="155">100*B175/B$8</f>
        <v>180.80276716869639</v>
      </c>
      <c r="D175" s="214">
        <f t="shared" ref="D175" si="156">100*(B175/B174-1)</f>
        <v>0</v>
      </c>
      <c r="E175" s="214">
        <f t="shared" ref="E175" si="157">100*(B175/B$166-1)</f>
        <v>4.3279392910357206</v>
      </c>
      <c r="F175" s="215">
        <f t="shared" ref="F175" si="158">(100*(B175/B163-1))</f>
        <v>4.3279392910357206</v>
      </c>
      <c r="G175" s="216">
        <f t="shared" ref="G175" si="159">100*(B175/B151-1)</f>
        <v>5.4238593788297873</v>
      </c>
      <c r="H175" s="209">
        <f t="shared" si="97"/>
        <v>1.1349063770426464</v>
      </c>
    </row>
    <row r="176" spans="1:8" ht="16.5" customHeight="1">
      <c r="A176" s="234" t="str">
        <f>Pneu!A176</f>
        <v>OUTUBRO|17</v>
      </c>
      <c r="B176" s="233">
        <f>[222]RECAPAGEM!$D$29</f>
        <v>501.8</v>
      </c>
      <c r="C176" s="207">
        <f t="shared" ref="C176" si="160">100*B176/B$8</f>
        <v>180.80276716869639</v>
      </c>
      <c r="D176" s="214">
        <f t="shared" ref="D176" si="161">100*(B176/B175-1)</f>
        <v>0</v>
      </c>
      <c r="E176" s="214">
        <f t="shared" ref="E176" si="162">100*(B176/B$166-1)</f>
        <v>4.3279392910357206</v>
      </c>
      <c r="F176" s="215">
        <f t="shared" ref="F176" si="163">(100*(B176/B164-1))</f>
        <v>4.3279392910357206</v>
      </c>
      <c r="G176" s="216">
        <f t="shared" ref="G176" si="164">100*(B176/B152-1)</f>
        <v>5.4238593788297873</v>
      </c>
      <c r="H176" s="209">
        <f t="shared" si="97"/>
        <v>1.1349063770426464</v>
      </c>
    </row>
    <row r="177" spans="1:8" ht="16.5" customHeight="1">
      <c r="A177" s="234" t="str">
        <f>Pneu!A177</f>
        <v>NOVEMBRO|17</v>
      </c>
      <c r="B177" s="233">
        <f>[223]RECAPAGEM!$D$29</f>
        <v>501.8</v>
      </c>
      <c r="C177" s="207">
        <f t="shared" ref="C177" si="165">100*B177/B$8</f>
        <v>180.80276716869639</v>
      </c>
      <c r="D177" s="214">
        <f t="shared" ref="D177" si="166">100*(B177/B176-1)</f>
        <v>0</v>
      </c>
      <c r="E177" s="214">
        <f t="shared" ref="E177" si="167">100*(B177/B$166-1)</f>
        <v>4.3279392910357206</v>
      </c>
      <c r="F177" s="215">
        <f t="shared" ref="F177" si="168">(100*(B177/B165-1))</f>
        <v>4.3279392910357206</v>
      </c>
      <c r="G177" s="216">
        <f t="shared" ref="G177" si="169">100*(B177/B153-1)</f>
        <v>5.4238593788297873</v>
      </c>
      <c r="H177" s="209">
        <f t="shared" si="97"/>
        <v>1.1349063770426464</v>
      </c>
    </row>
    <row r="178" spans="1:8" ht="16.5" customHeight="1">
      <c r="A178" s="234" t="str">
        <f>Pneu!A178</f>
        <v>DEZEMBRO|17</v>
      </c>
      <c r="B178" s="233">
        <f>[224]RECAPAGEM!$D$29</f>
        <v>501.8</v>
      </c>
      <c r="C178" s="207">
        <f t="shared" ref="C178" si="170">100*B178/B$8</f>
        <v>180.80276716869639</v>
      </c>
      <c r="D178" s="214">
        <f t="shared" ref="D178" si="171">100*(B178/B177-1)</f>
        <v>0</v>
      </c>
      <c r="E178" s="214">
        <f t="shared" ref="E178" si="172">100*(B178/B$166-1)</f>
        <v>4.3279392910357206</v>
      </c>
      <c r="F178" s="215">
        <f t="shared" ref="F178" si="173">(100*(B178/B166-1))</f>
        <v>4.3279392910357206</v>
      </c>
      <c r="G178" s="216">
        <f t="shared" ref="G178" si="174">100*(B178/B154-1)</f>
        <v>5.4238593788297873</v>
      </c>
      <c r="H178" s="209">
        <f t="shared" si="97"/>
        <v>1.1349063770426464</v>
      </c>
    </row>
    <row r="179" spans="1:8" ht="16.5" customHeight="1">
      <c r="A179" s="234" t="str">
        <f>Pneu!A179</f>
        <v>JANEIRO|18</v>
      </c>
      <c r="B179" s="233">
        <f>[225]RECAPAGEM!$D$29</f>
        <v>501.8</v>
      </c>
      <c r="C179" s="207">
        <f t="shared" ref="C179" si="175">100*B179/B$8</f>
        <v>180.80276716869639</v>
      </c>
      <c r="D179" s="214">
        <f t="shared" ref="D179" si="176">100*(B179/B178-1)</f>
        <v>0</v>
      </c>
      <c r="E179" s="214">
        <f t="shared" ref="E179:E184" si="177">100*(B179/B$178-1)</f>
        <v>0</v>
      </c>
      <c r="F179" s="215">
        <f t="shared" ref="F179" si="178">(100*(B179/B167-1))</f>
        <v>2.7611863886139565</v>
      </c>
      <c r="G179" s="216">
        <f t="shared" ref="G179" si="179">100*(B179/B155-1)</f>
        <v>5.4238593788297873</v>
      </c>
      <c r="H179" s="209">
        <f t="shared" si="97"/>
        <v>1.1349063770426464</v>
      </c>
    </row>
    <row r="180" spans="1:8" ht="16.5" customHeight="1">
      <c r="A180" s="234" t="str">
        <f>Pneu!A180</f>
        <v>FEVEREIRO|18</v>
      </c>
      <c r="B180" s="233">
        <f>[226]RECAPAGEM!$D$29</f>
        <v>501.8</v>
      </c>
      <c r="C180" s="207">
        <f t="shared" ref="C180" si="180">100*B180/B$8</f>
        <v>180.80276716869639</v>
      </c>
      <c r="D180" s="214">
        <f t="shared" ref="D180" si="181">100*(B180/B179-1)</f>
        <v>0</v>
      </c>
      <c r="E180" s="214">
        <f t="shared" si="177"/>
        <v>0</v>
      </c>
      <c r="F180" s="215">
        <f t="shared" ref="F180" si="182">(100*(B180/B168-1))</f>
        <v>2.7611863886139565</v>
      </c>
      <c r="G180" s="216">
        <f t="shared" ref="G180" si="183">100*(B180/B156-1)</f>
        <v>5.4238593788297873</v>
      </c>
      <c r="H180" s="209">
        <f t="shared" si="97"/>
        <v>1.1349063770426464</v>
      </c>
    </row>
    <row r="181" spans="1:8" ht="16.5" customHeight="1">
      <c r="A181" s="234" t="str">
        <f>Pneu!A181</f>
        <v>MARÇO|18</v>
      </c>
      <c r="B181" s="233">
        <f>[227]RECAPAGEM!$D$29</f>
        <v>501.8</v>
      </c>
      <c r="C181" s="207">
        <f t="shared" ref="C181" si="184">100*B181/B$8</f>
        <v>180.80276716869639</v>
      </c>
      <c r="D181" s="214">
        <f t="shared" ref="D181" si="185">100*(B181/B180-1)</f>
        <v>0</v>
      </c>
      <c r="E181" s="214">
        <f t="shared" si="177"/>
        <v>0</v>
      </c>
      <c r="F181" s="215">
        <f t="shared" ref="F181" si="186">(100*(B181/B169-1))</f>
        <v>2.7611863886139565</v>
      </c>
      <c r="G181" s="216">
        <f t="shared" ref="G181" si="187">100*(B181/B157-1)</f>
        <v>5.4238593788297873</v>
      </c>
      <c r="H181" s="209">
        <f t="shared" si="97"/>
        <v>1.1349063770426464</v>
      </c>
    </row>
    <row r="182" spans="1:8" ht="16.5" customHeight="1">
      <c r="A182" s="234" t="str">
        <f>Pneu!A182</f>
        <v>ABRIL|18</v>
      </c>
      <c r="B182" s="233">
        <f>[228]RECAPAGEM!$D$29</f>
        <v>513.4666666666667</v>
      </c>
      <c r="C182" s="207">
        <f t="shared" ref="C182" si="188">100*B182/B$8</f>
        <v>185.0063654488242</v>
      </c>
      <c r="D182" s="214">
        <f t="shared" ref="D182" si="189">100*(B182/B181-1)</f>
        <v>2.3249634648598416</v>
      </c>
      <c r="E182" s="214">
        <f t="shared" si="177"/>
        <v>2.3249634648598416</v>
      </c>
      <c r="F182" s="215">
        <f t="shared" ref="F182" si="190">(100*(B182/B170-1))</f>
        <v>5.1503464282057543</v>
      </c>
      <c r="G182" s="216">
        <f t="shared" ref="G182" si="191">100*(B182/B158-1)</f>
        <v>7.8749255926328088</v>
      </c>
      <c r="H182" s="209">
        <f t="shared" si="97"/>
        <v>1.109119748117372</v>
      </c>
    </row>
    <row r="183" spans="1:8" ht="16.5" customHeight="1">
      <c r="A183" s="234" t="str">
        <f>Pneu!A183</f>
        <v>MAIO|18</v>
      </c>
      <c r="B183" s="233">
        <f>[229]RECAPAGEM!$D$29</f>
        <v>513.4666666666667</v>
      </c>
      <c r="C183" s="207">
        <f t="shared" ref="C183" si="192">100*B183/B$8</f>
        <v>185.0063654488242</v>
      </c>
      <c r="D183" s="214">
        <f t="shared" ref="D183" si="193">100*(B183/B182-1)</f>
        <v>0</v>
      </c>
      <c r="E183" s="214">
        <f t="shared" si="177"/>
        <v>2.3249634648598416</v>
      </c>
      <c r="F183" s="215">
        <f t="shared" ref="F183" si="194">(100*(B183/B171-1))</f>
        <v>5.1503464282057543</v>
      </c>
      <c r="G183" s="216">
        <f t="shared" ref="G183" si="195">100*(B183/B159-1)</f>
        <v>6.7535257631934575</v>
      </c>
      <c r="H183" s="209">
        <f t="shared" si="97"/>
        <v>1.109119748117372</v>
      </c>
    </row>
    <row r="184" spans="1:8" ht="16.5" customHeight="1">
      <c r="A184" s="234" t="str">
        <f>Pneu!A184</f>
        <v>JUNHO|18</v>
      </c>
      <c r="B184" s="233">
        <f>[230]RECAPAGEM!$D$29</f>
        <v>520.78333333333342</v>
      </c>
      <c r="C184" s="207">
        <f t="shared" ref="C184" si="196">100*B184/B$8</f>
        <v>187.64262208450435</v>
      </c>
      <c r="D184" s="214">
        <f t="shared" ref="D184" si="197">100*(B184/B183-1)</f>
        <v>1.4249545572578626</v>
      </c>
      <c r="E184" s="214">
        <f t="shared" si="177"/>
        <v>3.7830476949648029</v>
      </c>
      <c r="F184" s="215">
        <f t="shared" ref="F184" si="198">(100*(B184/B172-1))</f>
        <v>6.6486910816069056</v>
      </c>
      <c r="G184" s="216">
        <f t="shared" ref="G184" si="199">100*(B184/B160-1)</f>
        <v>8.2747149935895372</v>
      </c>
      <c r="H184" s="209">
        <f t="shared" si="97"/>
        <v>1.0935373379844462</v>
      </c>
    </row>
    <row r="185" spans="1:8" ht="16.5" customHeight="1">
      <c r="A185" s="234" t="str">
        <f>Pneu!A185</f>
        <v>JULHO|18</v>
      </c>
      <c r="B185" s="233">
        <f>[231]RECAPAGEM!$D$29</f>
        <v>520.78333333333342</v>
      </c>
      <c r="C185" s="207">
        <f t="shared" ref="C185" si="200">100*B185/B$8</f>
        <v>187.64262208450435</v>
      </c>
      <c r="D185" s="214">
        <f t="shared" ref="D185" si="201">100*(B185/B184-1)</f>
        <v>0</v>
      </c>
      <c r="E185" s="214">
        <f t="shared" ref="E185" si="202">100*(B185/B$178-1)</f>
        <v>3.7830476949648029</v>
      </c>
      <c r="F185" s="215">
        <f t="shared" ref="F185" si="203">(100*(B185/B173-1))</f>
        <v>6.6486910816069056</v>
      </c>
      <c r="G185" s="216">
        <f t="shared" ref="G185" si="204">100*(B185/B161-1)</f>
        <v>8.2747149935895372</v>
      </c>
      <c r="H185" s="209">
        <f t="shared" si="97"/>
        <v>1.0935373379844462</v>
      </c>
    </row>
    <row r="186" spans="1:8" ht="16.5" customHeight="1">
      <c r="A186" s="234" t="str">
        <f>Pneu!A186</f>
        <v>AGOSTO|18</v>
      </c>
      <c r="B186" s="233">
        <f>[232]RECAPAGEM!$D$29</f>
        <v>520.78333333333342</v>
      </c>
      <c r="C186" s="207">
        <f t="shared" ref="C186" si="205">100*B186/B$8</f>
        <v>187.64262208450435</v>
      </c>
      <c r="D186" s="214">
        <f t="shared" ref="D186" si="206">100*(B186/B185-1)</f>
        <v>0</v>
      </c>
      <c r="E186" s="214">
        <f t="shared" ref="E186" si="207">100*(B186/B$178-1)</f>
        <v>3.7830476949648029</v>
      </c>
      <c r="F186" s="215">
        <f t="shared" ref="F186" si="208">(100*(B186/B174-1))</f>
        <v>3.7830476949648029</v>
      </c>
      <c r="G186" s="216">
        <f t="shared" ref="G186" si="209">100*(B186/B162-1)</f>
        <v>8.2747149935895372</v>
      </c>
      <c r="H186" s="209">
        <f t="shared" si="97"/>
        <v>1.0935373379844462</v>
      </c>
    </row>
    <row r="187" spans="1:8" ht="16.5" customHeight="1">
      <c r="A187" s="234" t="str">
        <f>Pneu!A187</f>
        <v>SETEMBRO|18</v>
      </c>
      <c r="B187" s="233">
        <f>[233]RECAPAGEM!$D$29</f>
        <v>520.78333333333342</v>
      </c>
      <c r="C187" s="207">
        <f t="shared" ref="C187" si="210">100*B187/B$8</f>
        <v>187.64262208450435</v>
      </c>
      <c r="D187" s="214">
        <f t="shared" ref="D187" si="211">100*(B187/B186-1)</f>
        <v>0</v>
      </c>
      <c r="E187" s="214">
        <f t="shared" ref="E187" si="212">100*(B187/B$178-1)</f>
        <v>3.7830476949648029</v>
      </c>
      <c r="F187" s="215">
        <f t="shared" ref="F187" si="213">(100*(B187/B175-1))</f>
        <v>3.7830476949648029</v>
      </c>
      <c r="G187" s="216">
        <f t="shared" ref="G187" si="214">100*(B187/B163-1)</f>
        <v>8.2747149935895372</v>
      </c>
      <c r="H187" s="209">
        <f t="shared" si="97"/>
        <v>1.0935373379844462</v>
      </c>
    </row>
    <row r="188" spans="1:8" ht="16.5" customHeight="1">
      <c r="A188" s="234" t="str">
        <f>Pneu!A188</f>
        <v>OUTUBRO|18</v>
      </c>
      <c r="B188" s="233">
        <f>[234]RECAPAGEM!$D$29</f>
        <v>527.01666666666677</v>
      </c>
      <c r="C188" s="207">
        <f t="shared" ref="C188" si="215">100*B188/B$8</f>
        <v>189.88854459417263</v>
      </c>
      <c r="D188" s="214">
        <f t="shared" ref="D188" si="216">100*(B188/B187-1)</f>
        <v>1.1969149038307814</v>
      </c>
      <c r="E188" s="214">
        <f t="shared" ref="E188" si="217">100*(B188/B$178-1)</f>
        <v>5.0252424604756429</v>
      </c>
      <c r="F188" s="215">
        <f t="shared" ref="F188" si="218">(100*(B188/B176-1))</f>
        <v>5.0252424604756429</v>
      </c>
      <c r="G188" s="216">
        <f t="shared" ref="G188" si="219">100*(B188/B164-1)</f>
        <v>9.570671194428094</v>
      </c>
      <c r="H188" s="209">
        <f t="shared" si="97"/>
        <v>1.0806034344264883</v>
      </c>
    </row>
    <row r="189" spans="1:8" ht="16.5" customHeight="1">
      <c r="A189" s="234" t="str">
        <f>Pneu!A189</f>
        <v>NOVEMBRO|18</v>
      </c>
      <c r="B189" s="233">
        <f>[235]RECAPAGEM!$D$29</f>
        <v>527.01666666666677</v>
      </c>
      <c r="C189" s="207">
        <f t="shared" ref="C189" si="220">100*B189/B$8</f>
        <v>189.88854459417263</v>
      </c>
      <c r="D189" s="214">
        <f t="shared" ref="D189" si="221">100*(B189/B188-1)</f>
        <v>0</v>
      </c>
      <c r="E189" s="214">
        <f t="shared" ref="E189" si="222">100*(B189/B$178-1)</f>
        <v>5.0252424604756429</v>
      </c>
      <c r="F189" s="215">
        <f t="shared" ref="F189" si="223">(100*(B189/B177-1))</f>
        <v>5.0252424604756429</v>
      </c>
      <c r="G189" s="216">
        <f t="shared" ref="G189" si="224">100*(B189/B165-1)</f>
        <v>9.570671194428094</v>
      </c>
      <c r="H189" s="209">
        <f t="shared" si="97"/>
        <v>1.0806034344264883</v>
      </c>
    </row>
    <row r="190" spans="1:8" ht="16.5" customHeight="1">
      <c r="A190" s="234" t="str">
        <f>Pneu!A190</f>
        <v>DEZEMBRO|18</v>
      </c>
      <c r="B190" s="233">
        <f>[236]RECAPAGEM!$D$29</f>
        <v>527.01666666666677</v>
      </c>
      <c r="C190" s="207">
        <f t="shared" ref="C190" si="225">100*B190/B$8</f>
        <v>189.88854459417263</v>
      </c>
      <c r="D190" s="214">
        <f t="shared" ref="D190" si="226">100*(B190/B189-1)</f>
        <v>0</v>
      </c>
      <c r="E190" s="214">
        <f t="shared" ref="E190" si="227">100*(B190/B$178-1)</f>
        <v>5.0252424604756429</v>
      </c>
      <c r="F190" s="215">
        <f t="shared" ref="F190" si="228">(100*(B190/B178-1))</f>
        <v>5.0252424604756429</v>
      </c>
      <c r="G190" s="216">
        <f t="shared" ref="G190" si="229">100*(B190/B166-1)</f>
        <v>9.570671194428094</v>
      </c>
      <c r="H190" s="209">
        <f t="shared" si="97"/>
        <v>1.0806034344264883</v>
      </c>
    </row>
    <row r="191" spans="1:8" ht="16.5" customHeight="1">
      <c r="A191" s="234" t="str">
        <f>Pneu!A191</f>
        <v>JANEIRO|19</v>
      </c>
      <c r="B191" s="233">
        <f>[237]RECAPAGEM!$D$29</f>
        <v>527.01666666666677</v>
      </c>
      <c r="C191" s="207">
        <f t="shared" ref="C191" si="230">100*B191/B$8</f>
        <v>189.88854459417263</v>
      </c>
      <c r="D191" s="214">
        <f t="shared" ref="D191" si="231">100*(B191/B190-1)</f>
        <v>0</v>
      </c>
      <c r="E191" s="214">
        <f t="shared" ref="E191:E196" si="232">100*(B191/B$190-1)</f>
        <v>0</v>
      </c>
      <c r="F191" s="215">
        <f t="shared" ref="F191" si="233">(100*(B191/B179-1))</f>
        <v>5.0252424604756429</v>
      </c>
      <c r="G191" s="216">
        <f t="shared" ref="G191" si="234">100*(B191/B167-1)</f>
        <v>7.9251851599030809</v>
      </c>
      <c r="H191" s="209">
        <f t="shared" si="97"/>
        <v>1.0806034344264883</v>
      </c>
    </row>
    <row r="192" spans="1:8" ht="16.5" customHeight="1">
      <c r="A192" s="273" t="str">
        <f>Pneu!A192</f>
        <v>FEVEREIRO|19</v>
      </c>
      <c r="B192" s="274">
        <f>[238]RECAPAGEM!$D$29</f>
        <v>538.68333333333339</v>
      </c>
      <c r="C192" s="275">
        <f t="shared" ref="C192" si="235">100*B192/B$8</f>
        <v>194.09214287430044</v>
      </c>
      <c r="D192" s="283">
        <f t="shared" ref="D192" si="236">100*(B192/B191-1)</f>
        <v>2.2137187312229134</v>
      </c>
      <c r="E192" s="283">
        <f t="shared" si="232"/>
        <v>2.2137187312229134</v>
      </c>
      <c r="F192" s="284">
        <f t="shared" ref="F192" si="237">(100*(B192/B180-1))</f>
        <v>7.3502059253354624</v>
      </c>
      <c r="G192" s="285">
        <f t="shared" ref="G192" si="238">100*(B192/B168-1)</f>
        <v>10.314345199494879</v>
      </c>
      <c r="H192" s="209">
        <f t="shared" si="97"/>
        <v>1.0571999999999997</v>
      </c>
    </row>
    <row r="193" spans="1:8" ht="16.5" customHeight="1">
      <c r="A193" s="196" t="str">
        <f>Pneu!A193</f>
        <v>MARÇO|19</v>
      </c>
      <c r="B193" s="280">
        <f>[239]RECAPAGEM!$D$29</f>
        <v>538.68333333333339</v>
      </c>
      <c r="C193" s="197">
        <f t="shared" ref="C193" si="239">100*B193/B$8</f>
        <v>194.09214287430044</v>
      </c>
      <c r="D193" s="198">
        <f t="shared" ref="D193" si="240">100*(B193/B192-1)</f>
        <v>0</v>
      </c>
      <c r="E193" s="198">
        <f t="shared" si="232"/>
        <v>2.2137187312229134</v>
      </c>
      <c r="F193" s="199">
        <f t="shared" ref="F193" si="241">(100*(B193/B181-1))</f>
        <v>7.3502059253354624</v>
      </c>
      <c r="G193" s="200">
        <f t="shared" ref="G193" si="242">100*(B193/B169-1)</f>
        <v>10.314345199494879</v>
      </c>
      <c r="H193" s="209">
        <f t="shared" si="97"/>
        <v>1.0571999999999997</v>
      </c>
    </row>
    <row r="194" spans="1:8" ht="16.5" customHeight="1">
      <c r="A194" s="196" t="str">
        <f>Pneu!A194</f>
        <v>ABRIL|19</v>
      </c>
      <c r="B194" s="280">
        <f>[240]RECAPAGEM!$D$29</f>
        <v>538.68333333333339</v>
      </c>
      <c r="C194" s="197">
        <f t="shared" ref="C194" si="243">100*B194/B$8</f>
        <v>194.09214287430044</v>
      </c>
      <c r="D194" s="198">
        <f t="shared" ref="D194" si="244">100*(B194/B193-1)</f>
        <v>0</v>
      </c>
      <c r="E194" s="198">
        <f t="shared" si="232"/>
        <v>2.2137187312229134</v>
      </c>
      <c r="F194" s="199">
        <f t="shared" ref="F194" si="245">(100*(B194/B182-1))</f>
        <v>4.9110620618021406</v>
      </c>
      <c r="G194" s="200">
        <f t="shared" ref="G194" si="246">100*(B194/B170-1)</f>
        <v>10.314345199494879</v>
      </c>
      <c r="H194" s="209">
        <f t="shared" si="97"/>
        <v>1.0571999999999997</v>
      </c>
    </row>
    <row r="195" spans="1:8" ht="16.5" customHeight="1">
      <c r="A195" s="196" t="str">
        <f>Pneu!A195</f>
        <v>MAIO|19</v>
      </c>
      <c r="B195" s="280">
        <f>[241]RECAPAGEM!$D$29</f>
        <v>538.68333333333339</v>
      </c>
      <c r="C195" s="197">
        <f t="shared" ref="C195" si="247">100*B195/B$8</f>
        <v>194.09214287430044</v>
      </c>
      <c r="D195" s="198">
        <f t="shared" ref="D195" si="248">100*(B195/B194-1)</f>
        <v>0</v>
      </c>
      <c r="E195" s="198">
        <f t="shared" si="232"/>
        <v>2.2137187312229134</v>
      </c>
      <c r="F195" s="199">
        <f t="shared" ref="F195" si="249">(100*(B195/B183-1))</f>
        <v>4.9110620618021406</v>
      </c>
      <c r="G195" s="200">
        <f t="shared" ref="G195" si="250">100*(B195/B171-1)</f>
        <v>10.314345199494879</v>
      </c>
      <c r="H195" s="209">
        <f t="shared" si="97"/>
        <v>1.0571999999999997</v>
      </c>
    </row>
    <row r="196" spans="1:8" ht="16.5" customHeight="1">
      <c r="A196" s="196" t="str">
        <f>Pneu!A196</f>
        <v>JUNHO|19</v>
      </c>
      <c r="B196" s="280">
        <f>[242]RECAPAGEM!$D$29</f>
        <v>538.68333333333339</v>
      </c>
      <c r="C196" s="197">
        <f t="shared" ref="C196" si="251">100*B196/B$8</f>
        <v>194.09214287430044</v>
      </c>
      <c r="D196" s="198">
        <f t="shared" ref="D196" si="252">100*(B196/B195-1)</f>
        <v>0</v>
      </c>
      <c r="E196" s="198">
        <f t="shared" si="232"/>
        <v>2.2137187312229134</v>
      </c>
      <c r="F196" s="199">
        <f t="shared" ref="F196" si="253">(100*(B196/B184-1))</f>
        <v>3.4371299644765818</v>
      </c>
      <c r="G196" s="200">
        <f t="shared" ref="G196" si="254">100*(B196/B172-1)</f>
        <v>10.314345199494879</v>
      </c>
      <c r="H196" s="209">
        <f t="shared" si="97"/>
        <v>1.0571999999999997</v>
      </c>
    </row>
    <row r="197" spans="1:8" ht="16.5" customHeight="1">
      <c r="A197" s="196" t="str">
        <f>Pneu!A197</f>
        <v>JULHO|19</v>
      </c>
      <c r="B197" s="280">
        <f>[243]RECAPAGEM!$D$29</f>
        <v>538.68333333333339</v>
      </c>
      <c r="C197" s="197">
        <f t="shared" ref="C197" si="255">100*B197/B$8</f>
        <v>194.09214287430044</v>
      </c>
      <c r="D197" s="198">
        <f t="shared" ref="D197" si="256">100*(B197/B196-1)</f>
        <v>0</v>
      </c>
      <c r="E197" s="198">
        <f t="shared" ref="E197" si="257">100*(B197/B$190-1)</f>
        <v>2.2137187312229134</v>
      </c>
      <c r="F197" s="199">
        <f t="shared" ref="F197" si="258">(100*(B197/B185-1))</f>
        <v>3.4371299644765818</v>
      </c>
      <c r="G197" s="200">
        <f t="shared" ref="G197" si="259">100*(B197/B173-1)</f>
        <v>10.314345199494879</v>
      </c>
      <c r="H197" s="209">
        <f t="shared" si="97"/>
        <v>1.0571999999999997</v>
      </c>
    </row>
    <row r="198" spans="1:8" ht="16.5" customHeight="1">
      <c r="A198" s="196" t="str">
        <f>Pneu!A198</f>
        <v>AGOSTO|19</v>
      </c>
      <c r="B198" s="280">
        <f>[244]RECAPAGEM!$D$29</f>
        <v>538.68333333333339</v>
      </c>
      <c r="C198" s="197">
        <f t="shared" ref="C198" si="260">100*B198/B$8</f>
        <v>194.09214287430044</v>
      </c>
      <c r="D198" s="198">
        <f t="shared" ref="D198" si="261">100*(B198/B197-1)</f>
        <v>0</v>
      </c>
      <c r="E198" s="198">
        <f t="shared" ref="E198" si="262">100*(B198/B$190-1)</f>
        <v>2.2137187312229134</v>
      </c>
      <c r="F198" s="199">
        <f t="shared" ref="F198" si="263">(100*(B198/B186-1))</f>
        <v>3.4371299644765818</v>
      </c>
      <c r="G198" s="200">
        <f t="shared" ref="G198" si="264">100*(B198/B174-1)</f>
        <v>7.3502059253354624</v>
      </c>
      <c r="H198" s="209">
        <f t="shared" si="97"/>
        <v>1.0571999999999997</v>
      </c>
    </row>
    <row r="199" spans="1:8" ht="16.5" customHeight="1">
      <c r="A199" s="196" t="str">
        <f>Pneu!A199</f>
        <v>SETEMBRO|19</v>
      </c>
      <c r="B199" s="280">
        <f>[245]RECAPAGEM!$D$29</f>
        <v>538.68333333333339</v>
      </c>
      <c r="C199" s="197">
        <f t="shared" ref="C199" si="265">100*B199/B$8</f>
        <v>194.09214287430044</v>
      </c>
      <c r="D199" s="198">
        <f t="shared" ref="D199" si="266">100*(B199/B198-1)</f>
        <v>0</v>
      </c>
      <c r="E199" s="198">
        <f t="shared" ref="E199" si="267">100*(B199/B$190-1)</f>
        <v>2.2137187312229134</v>
      </c>
      <c r="F199" s="199">
        <f t="shared" ref="F199" si="268">(100*(B199/B187-1))</f>
        <v>3.4371299644765818</v>
      </c>
      <c r="G199" s="200">
        <f t="shared" ref="G199" si="269">100*(B199/B175-1)</f>
        <v>7.3502059253354624</v>
      </c>
      <c r="H199" s="209">
        <f t="shared" si="97"/>
        <v>1.0571999999999997</v>
      </c>
    </row>
    <row r="200" spans="1:8" ht="16.5" customHeight="1">
      <c r="A200" s="196" t="str">
        <f>Pneu!A200</f>
        <v>OUTUBRO|19</v>
      </c>
      <c r="B200" s="280">
        <f>[246]RECAPAGEM!$D$29</f>
        <v>538.68333333333339</v>
      </c>
      <c r="C200" s="197">
        <f t="shared" ref="C200" si="270">100*B200/B$8</f>
        <v>194.09214287430044</v>
      </c>
      <c r="D200" s="198">
        <f t="shared" ref="D200" si="271">100*(B200/B199-1)</f>
        <v>0</v>
      </c>
      <c r="E200" s="198">
        <f t="shared" ref="E200" si="272">100*(B200/B$190-1)</f>
        <v>2.2137187312229134</v>
      </c>
      <c r="F200" s="199">
        <f t="shared" ref="F200" si="273">(100*(B200/B188-1))</f>
        <v>2.2137187312229134</v>
      </c>
      <c r="G200" s="200">
        <f t="shared" ref="G200" si="274">100*(B200/B176-1)</f>
        <v>7.3502059253354624</v>
      </c>
      <c r="H200" s="209">
        <f t="shared" si="97"/>
        <v>1.0571999999999997</v>
      </c>
    </row>
    <row r="201" spans="1:8" ht="16.5" customHeight="1">
      <c r="A201" s="196" t="str">
        <f>Pneu!A201</f>
        <v>NOVEMBRO|19</v>
      </c>
      <c r="B201" s="280">
        <f>[247]RECAPAGEM!$D$29</f>
        <v>538.68333333333339</v>
      </c>
      <c r="C201" s="197">
        <f t="shared" ref="C201" si="275">100*B201/B$8</f>
        <v>194.09214287430044</v>
      </c>
      <c r="D201" s="198">
        <f t="shared" ref="D201" si="276">100*(B201/B200-1)</f>
        <v>0</v>
      </c>
      <c r="E201" s="198">
        <f t="shared" ref="E201" si="277">100*(B201/B$190-1)</f>
        <v>2.2137187312229134</v>
      </c>
      <c r="F201" s="199">
        <f t="shared" ref="F201" si="278">(100*(B201/B189-1))</f>
        <v>2.2137187312229134</v>
      </c>
      <c r="G201" s="200">
        <f t="shared" ref="G201" si="279">100*(B201/B177-1)</f>
        <v>7.3502059253354624</v>
      </c>
      <c r="H201" s="209">
        <f t="shared" si="97"/>
        <v>1.0571999999999997</v>
      </c>
    </row>
    <row r="202" spans="1:8" ht="16.5" customHeight="1">
      <c r="A202" s="196" t="str">
        <f>Pneu!A202</f>
        <v>DEZEMBRO|19</v>
      </c>
      <c r="B202" s="280">
        <f>[248]RECAPAGEM!$D$29</f>
        <v>538.68333333333339</v>
      </c>
      <c r="C202" s="197">
        <f t="shared" ref="C202" si="280">100*B202/B$8</f>
        <v>194.09214287430044</v>
      </c>
      <c r="D202" s="198">
        <f t="shared" ref="D202" si="281">100*(B202/B201-1)</f>
        <v>0</v>
      </c>
      <c r="E202" s="198">
        <f t="shared" ref="E202" si="282">100*(B202/B$190-1)</f>
        <v>2.2137187312229134</v>
      </c>
      <c r="F202" s="199">
        <f t="shared" ref="F202" si="283">(100*(B202/B190-1))</f>
        <v>2.2137187312229134</v>
      </c>
      <c r="G202" s="200">
        <f t="shared" ref="G202" si="284">100*(B202/B178-1)</f>
        <v>7.3502059253354624</v>
      </c>
      <c r="H202" s="209">
        <f t="shared" si="97"/>
        <v>1.0571999999999997</v>
      </c>
    </row>
    <row r="203" spans="1:8" ht="16.5" customHeight="1">
      <c r="A203" s="196" t="str">
        <f>Pneu!A203</f>
        <v>JANEIRO|20</v>
      </c>
      <c r="B203" s="280">
        <f>[249]RECAPAGEM!$D$29</f>
        <v>538.68333333333339</v>
      </c>
      <c r="C203" s="197">
        <f t="shared" ref="C203" si="285">100*B203/B$8</f>
        <v>194.09214287430044</v>
      </c>
      <c r="D203" s="198">
        <f t="shared" ref="D203" si="286">100*(B203/B202-1)</f>
        <v>0</v>
      </c>
      <c r="E203" s="198">
        <f t="shared" ref="E203:E208" si="287">100*(B203/B$202-1)</f>
        <v>0</v>
      </c>
      <c r="F203" s="199">
        <f t="shared" ref="F203" si="288">(100*(B203/B191-1))</f>
        <v>2.2137187312229134</v>
      </c>
      <c r="G203" s="200">
        <f t="shared" ref="G203" si="289">100*(B203/B179-1)</f>
        <v>7.3502059253354624</v>
      </c>
      <c r="H203" s="209">
        <f t="shared" si="97"/>
        <v>1.0571999999999997</v>
      </c>
    </row>
    <row r="204" spans="1:8" ht="16.5" customHeight="1">
      <c r="A204" s="196" t="str">
        <f>Pneu!A204</f>
        <v>FEVEREIRO|20</v>
      </c>
      <c r="B204" s="280">
        <f>[250]RECAPAGEM!$D$29</f>
        <v>569.49601999999993</v>
      </c>
      <c r="C204" s="197">
        <f t="shared" ref="C204" si="290">100*B204/B$8</f>
        <v>205.19421344671034</v>
      </c>
      <c r="D204" s="198">
        <f t="shared" ref="D204" si="291">100*(B204/B203-1)</f>
        <v>5.7199999999999696</v>
      </c>
      <c r="E204" s="198">
        <f t="shared" si="287"/>
        <v>5.7199999999999696</v>
      </c>
      <c r="F204" s="199">
        <f t="shared" ref="F204" si="292">(100*(B204/B192-1))</f>
        <v>5.7199999999999696</v>
      </c>
      <c r="G204" s="200">
        <f t="shared" ref="G204" si="293">100*(B204/B180-1)</f>
        <v>13.490637704264641</v>
      </c>
      <c r="H204" s="209">
        <f t="shared" si="97"/>
        <v>1</v>
      </c>
    </row>
    <row r="205" spans="1:8" ht="16.5" customHeight="1">
      <c r="A205" s="196" t="str">
        <f>Pneu!A205</f>
        <v>MARÇO|20</v>
      </c>
      <c r="B205" s="280">
        <f>[251]RECAPAGEM!$D$29</f>
        <v>569.49601999999993</v>
      </c>
      <c r="C205" s="197">
        <f t="shared" ref="C205" si="294">100*B205/B$8</f>
        <v>205.19421344671034</v>
      </c>
      <c r="D205" s="198">
        <f t="shared" ref="D205" si="295">100*(B205/B204-1)</f>
        <v>0</v>
      </c>
      <c r="E205" s="198">
        <f t="shared" si="287"/>
        <v>5.7199999999999696</v>
      </c>
      <c r="F205" s="199">
        <f t="shared" ref="F205" si="296">(100*(B205/B193-1))</f>
        <v>5.7199999999999696</v>
      </c>
      <c r="G205" s="200">
        <f t="shared" ref="G205" si="297">100*(B205/B181-1)</f>
        <v>13.490637704264641</v>
      </c>
      <c r="H205" s="209">
        <f t="shared" si="97"/>
        <v>1</v>
      </c>
    </row>
    <row r="206" spans="1:8" ht="16.5" customHeight="1">
      <c r="A206" s="196" t="str">
        <f>Pneu!A206</f>
        <v>ABRIL|20</v>
      </c>
      <c r="B206" s="280">
        <f>[252]RECAPAGEM!$D$29</f>
        <v>569.49601999999993</v>
      </c>
      <c r="C206" s="197">
        <f t="shared" ref="C206" si="298">100*B206/B$8</f>
        <v>205.19421344671034</v>
      </c>
      <c r="D206" s="198">
        <f t="shared" ref="D206" si="299">100*(B206/B205-1)</f>
        <v>0</v>
      </c>
      <c r="E206" s="198">
        <f t="shared" si="287"/>
        <v>5.7199999999999696</v>
      </c>
      <c r="F206" s="199">
        <f t="shared" ref="F206" si="300">(100*(B206/B194-1))</f>
        <v>5.7199999999999696</v>
      </c>
      <c r="G206" s="200">
        <f t="shared" ref="G206" si="301">100*(B206/B182-1)</f>
        <v>10.911974811737203</v>
      </c>
      <c r="H206" s="209">
        <f t="shared" si="97"/>
        <v>1</v>
      </c>
    </row>
    <row r="207" spans="1:8" ht="16.5" customHeight="1">
      <c r="A207" s="196" t="str">
        <f>Pneu!A207</f>
        <v>MAIO|20</v>
      </c>
      <c r="B207" s="280">
        <f>[253]RECAPAGEM!$D$29</f>
        <v>569.49601999999993</v>
      </c>
      <c r="C207" s="197">
        <f t="shared" ref="C207" si="302">100*B207/B$8</f>
        <v>205.19421344671034</v>
      </c>
      <c r="D207" s="198">
        <f t="shared" ref="D207" si="303">100*(B207/B206-1)</f>
        <v>0</v>
      </c>
      <c r="E207" s="198">
        <f t="shared" si="287"/>
        <v>5.7199999999999696</v>
      </c>
      <c r="F207" s="199">
        <f t="shared" ref="F207" si="304">(100*(B207/B195-1))</f>
        <v>5.7199999999999696</v>
      </c>
      <c r="G207" s="200">
        <f t="shared" ref="G207" si="305">100*(B207/B183-1)</f>
        <v>10.911974811737203</v>
      </c>
      <c r="H207" s="209">
        <f t="shared" si="97"/>
        <v>1</v>
      </c>
    </row>
    <row r="208" spans="1:8" ht="16.5" customHeight="1">
      <c r="A208" s="196" t="str">
        <f>Pneu!A208</f>
        <v>JUNHO|20</v>
      </c>
      <c r="B208" s="280">
        <f>[254]RECAPAGEM!$D$29</f>
        <v>569.49601999999993</v>
      </c>
      <c r="C208" s="197">
        <f t="shared" ref="C208" si="306">100*B208/B$8</f>
        <v>205.19421344671034</v>
      </c>
      <c r="D208" s="198">
        <f t="shared" ref="D208" si="307">100*(B208/B207-1)</f>
        <v>0</v>
      </c>
      <c r="E208" s="198">
        <f t="shared" si="287"/>
        <v>5.7199999999999696</v>
      </c>
      <c r="F208" s="199">
        <f t="shared" ref="F208" si="308">(100*(B208/B196-1))</f>
        <v>5.7199999999999696</v>
      </c>
      <c r="G208" s="200">
        <f t="shared" ref="G208" si="309">100*(B208/B184-1)</f>
        <v>9.3537337984446189</v>
      </c>
      <c r="H208" s="209">
        <f t="shared" si="97"/>
        <v>1</v>
      </c>
    </row>
    <row r="209" spans="1:8" ht="16.5" customHeight="1">
      <c r="A209" s="196" t="str">
        <f>Pneu!A209</f>
        <v>JULHO|20</v>
      </c>
      <c r="B209" s="280">
        <f>[255]RECAPAGEM!$D$29</f>
        <v>569.49601999999993</v>
      </c>
      <c r="C209" s="197">
        <f t="shared" ref="C209" si="310">100*B209/B$8</f>
        <v>205.19421344671034</v>
      </c>
      <c r="D209" s="198">
        <f t="shared" ref="D209" si="311">100*(B209/B208-1)</f>
        <v>0</v>
      </c>
      <c r="E209" s="198">
        <f t="shared" ref="E209" si="312">100*(B209/B$202-1)</f>
        <v>5.7199999999999696</v>
      </c>
      <c r="F209" s="199">
        <f t="shared" ref="F209" si="313">(100*(B209/B197-1))</f>
        <v>5.7199999999999696</v>
      </c>
      <c r="G209" s="200">
        <f t="shared" ref="G209" si="314">100*(B209/B185-1)</f>
        <v>9.3537337984446189</v>
      </c>
      <c r="H209" s="209">
        <f t="shared" si="97"/>
        <v>1</v>
      </c>
    </row>
    <row r="210" spans="1:8" ht="16.5" customHeight="1">
      <c r="A210" s="196" t="str">
        <f>Pneu!A210</f>
        <v>AGOSTO|20</v>
      </c>
      <c r="B210" s="280">
        <f>[256]RECAPAGEM!$D$29</f>
        <v>569.49601999999993</v>
      </c>
      <c r="C210" s="197">
        <f t="shared" ref="C210" si="315">100*B210/B$8</f>
        <v>205.19421344671034</v>
      </c>
      <c r="D210" s="198">
        <f t="shared" ref="D210" si="316">100*(B210/B209-1)</f>
        <v>0</v>
      </c>
      <c r="E210" s="198">
        <f t="shared" ref="E210" si="317">100*(B210/B$202-1)</f>
        <v>5.7199999999999696</v>
      </c>
      <c r="F210" s="199">
        <f t="shared" ref="F210" si="318">(100*(B210/B198-1))</f>
        <v>5.7199999999999696</v>
      </c>
      <c r="G210" s="200">
        <f t="shared" ref="G210" si="319">100*(B210/B186-1)</f>
        <v>9.3537337984446189</v>
      </c>
      <c r="H210" s="279">
        <f t="shared" si="97"/>
        <v>1</v>
      </c>
    </row>
    <row r="211" spans="1:8" ht="16.5" customHeight="1" thickBot="1">
      <c r="A211" s="151" t="str">
        <f>Pneu!A211</f>
        <v>SETEMBRO|20</v>
      </c>
      <c r="B211" s="192">
        <f>[256]RECAPAGEM!$D$29</f>
        <v>569.49601999999993</v>
      </c>
      <c r="C211" s="153">
        <f t="shared" ref="C211" si="320">100*B211/B$8</f>
        <v>205.19421344671034</v>
      </c>
      <c r="D211" s="154">
        <f t="shared" ref="D211" si="321">100*(B211/B210-1)</f>
        <v>0</v>
      </c>
      <c r="E211" s="154">
        <f t="shared" ref="E211" si="322">100*(B211/B$202-1)</f>
        <v>5.7199999999999696</v>
      </c>
      <c r="F211" s="155">
        <f t="shared" ref="F211" si="323">(100*(B211/B199-1))</f>
        <v>5.7199999999999696</v>
      </c>
      <c r="G211" s="156">
        <f t="shared" ref="G211" si="324">100*(B211/B187-1)</f>
        <v>9.3537337984446189</v>
      </c>
      <c r="H211" s="157">
        <f t="shared" si="97"/>
        <v>1</v>
      </c>
    </row>
    <row r="212" spans="1:8">
      <c r="A212" s="125" t="s">
        <v>18</v>
      </c>
      <c r="B212" s="104"/>
      <c r="C212" s="104"/>
      <c r="D212" s="104"/>
      <c r="E212" s="104"/>
      <c r="F212" s="104"/>
      <c r="G212" s="104"/>
      <c r="H212" s="104"/>
    </row>
    <row r="213" spans="1:8">
      <c r="B213" s="104"/>
      <c r="C213" s="104"/>
      <c r="D213" s="104"/>
      <c r="E213" s="104"/>
      <c r="F213" s="104"/>
      <c r="G213" s="104"/>
      <c r="H213" s="104"/>
    </row>
    <row r="214" spans="1:8">
      <c r="B214" s="104"/>
      <c r="C214" s="104"/>
      <c r="D214" s="104"/>
      <c r="E214" s="104"/>
      <c r="F214" s="104"/>
      <c r="G214" s="104"/>
      <c r="H214" s="104"/>
    </row>
    <row r="215" spans="1:8">
      <c r="B215" s="104"/>
      <c r="C215" s="104"/>
      <c r="D215" s="104"/>
      <c r="E215" s="104"/>
      <c r="F215" s="104"/>
      <c r="G215" s="104"/>
      <c r="H215" s="104"/>
    </row>
    <row r="216" spans="1:8">
      <c r="B216" s="104"/>
      <c r="C216" s="104"/>
      <c r="D216" s="104"/>
      <c r="E216" s="104"/>
      <c r="F216" s="104"/>
      <c r="G216" s="104"/>
      <c r="H216" s="104"/>
    </row>
    <row r="217" spans="1:8">
      <c r="B217" s="104"/>
      <c r="C217" s="104"/>
      <c r="D217" s="104"/>
      <c r="E217" s="104"/>
      <c r="F217" s="104"/>
      <c r="G217" s="104"/>
      <c r="H217" s="104"/>
    </row>
    <row r="218" spans="1:8">
      <c r="B218" s="104"/>
      <c r="C218" s="104"/>
      <c r="D218" s="104"/>
      <c r="E218" s="104"/>
      <c r="F218" s="104"/>
      <c r="G218" s="104"/>
      <c r="H218" s="104"/>
    </row>
    <row r="219" spans="1:8">
      <c r="B219" s="104"/>
      <c r="C219" s="104"/>
      <c r="D219" s="104"/>
      <c r="E219" s="104"/>
      <c r="F219" s="104"/>
      <c r="G219" s="104"/>
      <c r="H219" s="104"/>
    </row>
    <row r="220" spans="1:8">
      <c r="B220" s="104"/>
      <c r="C220" s="104"/>
      <c r="D220" s="104"/>
      <c r="E220" s="104"/>
      <c r="F220" s="104"/>
      <c r="G220" s="104"/>
      <c r="H220" s="104"/>
    </row>
    <row r="221" spans="1:8">
      <c r="B221" s="104"/>
      <c r="C221" s="104"/>
      <c r="D221" s="104"/>
      <c r="E221" s="104"/>
      <c r="F221" s="104"/>
      <c r="G221" s="104"/>
      <c r="H221" s="104"/>
    </row>
    <row r="222" spans="1:8">
      <c r="B222" s="104"/>
      <c r="C222" s="104"/>
      <c r="D222" s="104"/>
      <c r="E222" s="104"/>
      <c r="F222" s="104"/>
      <c r="G222" s="104"/>
      <c r="H222" s="104"/>
    </row>
    <row r="223" spans="1:8">
      <c r="B223" s="104"/>
      <c r="C223" s="104"/>
      <c r="D223" s="104"/>
      <c r="E223" s="104"/>
      <c r="F223" s="104"/>
      <c r="G223" s="104"/>
      <c r="H223" s="104"/>
    </row>
    <row r="224" spans="1:8">
      <c r="A224" s="105"/>
      <c r="B224" s="104"/>
      <c r="C224" s="104"/>
      <c r="D224" s="104"/>
      <c r="E224" s="104"/>
      <c r="F224" s="104"/>
      <c r="G224" s="104"/>
      <c r="H224" s="104"/>
    </row>
    <row r="225" spans="1:8">
      <c r="B225" s="104"/>
      <c r="C225" s="104"/>
      <c r="D225" s="104"/>
      <c r="E225" s="104"/>
      <c r="F225" s="104"/>
      <c r="G225" s="104"/>
      <c r="H225" s="104"/>
    </row>
    <row r="226" spans="1:8">
      <c r="B226" s="104"/>
      <c r="C226" s="104"/>
      <c r="D226" s="104"/>
      <c r="E226" s="104"/>
      <c r="F226" s="104"/>
      <c r="G226" s="104"/>
      <c r="H226" s="104"/>
    </row>
    <row r="227" spans="1:8">
      <c r="A227" s="106"/>
      <c r="B227" s="104"/>
      <c r="C227" s="104"/>
      <c r="D227" s="104"/>
      <c r="E227" s="104"/>
      <c r="F227" s="104"/>
      <c r="G227" s="104"/>
      <c r="H227" s="104"/>
    </row>
    <row r="228" spans="1:8">
      <c r="A228" s="106"/>
      <c r="B228" s="107"/>
      <c r="C228" s="107"/>
      <c r="D228" s="108"/>
      <c r="E228" s="107"/>
      <c r="F228" s="104"/>
      <c r="G228" s="104"/>
      <c r="H228" s="104"/>
    </row>
    <row r="229" spans="1:8">
      <c r="B229" s="104"/>
      <c r="C229" s="104"/>
      <c r="D229" s="104"/>
      <c r="E229" s="104"/>
      <c r="F229" s="104"/>
      <c r="G229" s="104"/>
      <c r="H229" s="104"/>
    </row>
    <row r="230" spans="1:8">
      <c r="B230" s="104"/>
      <c r="C230" s="104"/>
      <c r="D230" s="104"/>
      <c r="E230" s="104"/>
      <c r="F230" s="104"/>
      <c r="G230" s="104"/>
      <c r="H230" s="104"/>
    </row>
    <row r="231" spans="1:8">
      <c r="B231" s="104"/>
      <c r="C231" s="104"/>
      <c r="D231" s="104"/>
      <c r="E231" s="104"/>
      <c r="F231" s="104"/>
      <c r="G231" s="104"/>
      <c r="H231" s="104"/>
    </row>
    <row r="232" spans="1:8">
      <c r="B232" s="104"/>
      <c r="C232" s="104"/>
      <c r="D232" s="104"/>
      <c r="E232" s="104"/>
      <c r="F232" s="104"/>
      <c r="G232" s="104"/>
      <c r="H232" s="104"/>
    </row>
    <row r="233" spans="1:8">
      <c r="B233" s="104"/>
      <c r="C233" s="104"/>
      <c r="D233" s="104"/>
      <c r="E233" s="104"/>
      <c r="F233" s="104"/>
      <c r="G233" s="104"/>
      <c r="H233" s="104"/>
    </row>
    <row r="234" spans="1:8">
      <c r="B234" s="104"/>
      <c r="C234" s="104"/>
      <c r="D234" s="104"/>
      <c r="E234" s="104"/>
      <c r="F234" s="104"/>
      <c r="G234" s="104"/>
      <c r="H234" s="104"/>
    </row>
    <row r="235" spans="1:8">
      <c r="B235" s="104"/>
      <c r="C235" s="104"/>
      <c r="D235" s="104"/>
      <c r="E235" s="104"/>
      <c r="F235" s="104"/>
      <c r="G235" s="104"/>
      <c r="H235" s="104"/>
    </row>
    <row r="236" spans="1:8">
      <c r="B236" s="104"/>
      <c r="C236" s="104"/>
      <c r="D236" s="104"/>
      <c r="E236" s="104"/>
      <c r="F236" s="104"/>
      <c r="G236" s="104"/>
      <c r="H236" s="104"/>
    </row>
    <row r="237" spans="1:8">
      <c r="B237" s="104"/>
      <c r="C237" s="104"/>
      <c r="D237" s="104"/>
      <c r="E237" s="104"/>
      <c r="F237" s="104"/>
      <c r="G237" s="104"/>
      <c r="H237" s="104"/>
    </row>
    <row r="238" spans="1:8">
      <c r="B238" s="104"/>
      <c r="C238" s="104"/>
      <c r="D238" s="104"/>
      <c r="E238" s="104"/>
      <c r="F238" s="104"/>
      <c r="G238" s="104"/>
      <c r="H238" s="104"/>
    </row>
    <row r="239" spans="1:8">
      <c r="B239" s="104"/>
      <c r="C239" s="104"/>
      <c r="D239" s="104"/>
      <c r="E239" s="104"/>
      <c r="F239" s="104"/>
      <c r="G239" s="104"/>
      <c r="H239" s="104"/>
    </row>
    <row r="240" spans="1:8">
      <c r="B240" s="104"/>
      <c r="C240" s="104"/>
      <c r="D240" s="104"/>
      <c r="E240" s="104"/>
      <c r="F240" s="104"/>
      <c r="G240" s="104"/>
      <c r="H240" s="104"/>
    </row>
    <row r="241" spans="1:8">
      <c r="A241" s="105"/>
      <c r="B241" s="104"/>
      <c r="C241" s="104"/>
      <c r="D241" s="104"/>
      <c r="E241" s="104"/>
      <c r="F241" s="104"/>
      <c r="G241" s="104"/>
      <c r="H241" s="104"/>
    </row>
    <row r="242" spans="1:8">
      <c r="B242" s="104"/>
      <c r="C242" s="104"/>
      <c r="D242" s="104"/>
      <c r="E242" s="104"/>
      <c r="F242" s="104"/>
      <c r="G242" s="104"/>
      <c r="H242" s="104"/>
    </row>
    <row r="243" spans="1:8">
      <c r="B243" s="104"/>
      <c r="C243" s="104"/>
      <c r="D243" s="104"/>
      <c r="E243" s="104"/>
      <c r="F243" s="104"/>
      <c r="G243" s="104"/>
      <c r="H243" s="104"/>
    </row>
    <row r="244" spans="1:8">
      <c r="B244" s="104"/>
      <c r="C244" s="104"/>
      <c r="D244" s="104"/>
      <c r="E244" s="104"/>
      <c r="F244" s="104"/>
      <c r="G244" s="104"/>
      <c r="H244" s="104"/>
    </row>
    <row r="245" spans="1:8">
      <c r="B245" s="104"/>
      <c r="C245" s="104"/>
      <c r="D245" s="104"/>
      <c r="E245" s="104"/>
      <c r="F245" s="104"/>
      <c r="G245" s="104"/>
      <c r="H245" s="104"/>
    </row>
    <row r="246" spans="1:8">
      <c r="B246" s="104"/>
      <c r="C246" s="104"/>
      <c r="D246" s="104"/>
      <c r="E246" s="104"/>
      <c r="F246" s="104"/>
      <c r="G246" s="104"/>
      <c r="H246" s="104"/>
    </row>
    <row r="247" spans="1:8">
      <c r="B247" s="104"/>
      <c r="C247" s="104"/>
      <c r="D247" s="104"/>
      <c r="E247" s="104"/>
      <c r="F247" s="104"/>
      <c r="G247" s="104"/>
      <c r="H247" s="104"/>
    </row>
    <row r="248" spans="1:8">
      <c r="B248" s="104"/>
      <c r="C248" s="104"/>
      <c r="D248" s="104"/>
      <c r="E248" s="104"/>
      <c r="F248" s="104"/>
      <c r="G248" s="104"/>
      <c r="H248" s="104"/>
    </row>
    <row r="249" spans="1:8">
      <c r="B249" s="104"/>
      <c r="C249" s="104"/>
      <c r="D249" s="104"/>
      <c r="E249" s="104"/>
      <c r="F249" s="104"/>
      <c r="G249" s="104"/>
      <c r="H249" s="104"/>
    </row>
    <row r="250" spans="1:8">
      <c r="B250" s="104"/>
      <c r="C250" s="104"/>
      <c r="D250" s="104"/>
      <c r="E250" s="104"/>
      <c r="F250" s="104"/>
      <c r="G250" s="104"/>
      <c r="H250" s="104"/>
    </row>
    <row r="251" spans="1:8">
      <c r="B251" s="104"/>
      <c r="C251" s="104"/>
      <c r="D251" s="104"/>
      <c r="E251" s="104"/>
      <c r="F251" s="104"/>
      <c r="G251" s="104"/>
      <c r="H251" s="104"/>
    </row>
    <row r="252" spans="1:8">
      <c r="B252" s="104"/>
      <c r="C252" s="104"/>
      <c r="D252" s="104"/>
      <c r="E252" s="104"/>
      <c r="F252" s="104"/>
      <c r="G252" s="104"/>
      <c r="H252" s="104"/>
    </row>
    <row r="253" spans="1:8">
      <c r="B253" s="104"/>
      <c r="C253" s="104"/>
      <c r="D253" s="104"/>
      <c r="E253" s="104"/>
      <c r="F253" s="104"/>
      <c r="G253" s="104"/>
      <c r="H253" s="104"/>
    </row>
    <row r="254" spans="1:8">
      <c r="B254" s="104"/>
      <c r="C254" s="104"/>
      <c r="D254" s="104"/>
      <c r="E254" s="104"/>
      <c r="F254" s="104"/>
      <c r="G254" s="104"/>
      <c r="H254" s="104"/>
    </row>
    <row r="255" spans="1:8">
      <c r="B255" s="104"/>
      <c r="C255" s="104"/>
      <c r="D255" s="104"/>
      <c r="E255" s="104"/>
      <c r="F255" s="104"/>
      <c r="G255" s="104"/>
      <c r="H255" s="104"/>
    </row>
    <row r="256" spans="1:8">
      <c r="B256" s="104"/>
      <c r="C256" s="104"/>
      <c r="D256" s="104"/>
      <c r="E256" s="104"/>
      <c r="F256" s="104"/>
      <c r="G256" s="104"/>
      <c r="H256" s="104"/>
    </row>
    <row r="257" spans="2:8">
      <c r="B257" s="104"/>
      <c r="C257" s="104"/>
      <c r="D257" s="104"/>
      <c r="E257" s="104"/>
      <c r="F257" s="104"/>
      <c r="G257" s="104"/>
      <c r="H257" s="104"/>
    </row>
    <row r="258" spans="2:8">
      <c r="B258" s="104"/>
      <c r="C258" s="104"/>
      <c r="D258" s="104"/>
      <c r="E258" s="104"/>
      <c r="F258" s="104"/>
      <c r="G258" s="104"/>
      <c r="H258" s="104"/>
    </row>
    <row r="259" spans="2:8">
      <c r="B259" s="104"/>
      <c r="C259" s="104"/>
      <c r="D259" s="104"/>
      <c r="E259" s="104"/>
      <c r="F259" s="104"/>
      <c r="G259" s="104"/>
      <c r="H259" s="104"/>
    </row>
    <row r="260" spans="2:8">
      <c r="B260" s="104"/>
      <c r="C260" s="104"/>
      <c r="D260" s="104"/>
      <c r="E260" s="104"/>
      <c r="F260" s="104"/>
      <c r="G260" s="104"/>
      <c r="H260" s="104"/>
    </row>
    <row r="261" spans="2:8">
      <c r="B261" s="104"/>
      <c r="C261" s="104"/>
      <c r="D261" s="104"/>
      <c r="E261" s="104"/>
      <c r="F261" s="104"/>
      <c r="G261" s="104"/>
      <c r="H261" s="104"/>
    </row>
    <row r="262" spans="2:8">
      <c r="B262" s="104"/>
      <c r="C262" s="104"/>
      <c r="D262" s="104"/>
      <c r="E262" s="104"/>
      <c r="F262" s="104"/>
      <c r="G262" s="104"/>
      <c r="H262" s="104"/>
    </row>
    <row r="263" spans="2:8">
      <c r="B263" s="104"/>
      <c r="C263" s="104"/>
      <c r="D263" s="104"/>
      <c r="E263" s="104"/>
      <c r="F263" s="104"/>
      <c r="G263" s="104"/>
      <c r="H263" s="104"/>
    </row>
    <row r="264" spans="2:8">
      <c r="B264" s="104"/>
      <c r="C264" s="104"/>
      <c r="D264" s="104"/>
      <c r="E264" s="104"/>
      <c r="F264" s="104"/>
      <c r="G264" s="104"/>
      <c r="H264" s="104"/>
    </row>
    <row r="265" spans="2:8">
      <c r="B265" s="104"/>
      <c r="C265" s="104"/>
      <c r="D265" s="104"/>
      <c r="E265" s="104"/>
      <c r="F265" s="104"/>
      <c r="G265" s="104"/>
      <c r="H265" s="104"/>
    </row>
    <row r="266" spans="2:8">
      <c r="B266" s="104"/>
      <c r="C266" s="104"/>
      <c r="D266" s="104"/>
      <c r="E266" s="104"/>
      <c r="F266" s="104"/>
      <c r="G266" s="104"/>
      <c r="H266" s="104"/>
    </row>
    <row r="267" spans="2:8">
      <c r="B267" s="104"/>
      <c r="C267" s="104"/>
      <c r="D267" s="104"/>
      <c r="E267" s="104"/>
      <c r="F267" s="104"/>
      <c r="G267" s="104"/>
      <c r="H267" s="104"/>
    </row>
    <row r="268" spans="2:8">
      <c r="B268" s="104"/>
      <c r="C268" s="104"/>
      <c r="D268" s="104"/>
      <c r="E268" s="104"/>
      <c r="F268" s="104"/>
      <c r="G268" s="104"/>
      <c r="H268" s="104"/>
    </row>
    <row r="269" spans="2:8">
      <c r="B269" s="104"/>
      <c r="C269" s="104"/>
      <c r="D269" s="104"/>
      <c r="E269" s="104"/>
      <c r="F269" s="104"/>
      <c r="G269" s="104"/>
      <c r="H269" s="104"/>
    </row>
    <row r="270" spans="2:8">
      <c r="B270" s="104"/>
      <c r="C270" s="104"/>
      <c r="D270" s="104"/>
      <c r="E270" s="104"/>
      <c r="F270" s="104"/>
      <c r="G270" s="104"/>
      <c r="H270" s="104"/>
    </row>
    <row r="271" spans="2:8">
      <c r="B271" s="104"/>
      <c r="C271" s="104"/>
      <c r="D271" s="104"/>
      <c r="E271" s="104"/>
      <c r="F271" s="104"/>
      <c r="G271" s="104"/>
      <c r="H271" s="104"/>
    </row>
    <row r="272" spans="2:8">
      <c r="B272" s="104"/>
      <c r="C272" s="104"/>
      <c r="D272" s="104"/>
      <c r="E272" s="104"/>
      <c r="F272" s="104"/>
      <c r="G272" s="104"/>
      <c r="H272" s="104"/>
    </row>
    <row r="273" spans="2:8">
      <c r="B273" s="104"/>
      <c r="C273" s="104"/>
      <c r="D273" s="104"/>
      <c r="E273" s="104"/>
      <c r="F273" s="104"/>
      <c r="G273" s="104"/>
      <c r="H273" s="104"/>
    </row>
    <row r="274" spans="2:8">
      <c r="B274" s="104"/>
      <c r="C274" s="104"/>
      <c r="D274" s="104"/>
      <c r="E274" s="104"/>
      <c r="F274" s="104"/>
      <c r="G274" s="104"/>
      <c r="H274" s="104"/>
    </row>
    <row r="275" spans="2:8">
      <c r="B275" s="104"/>
      <c r="C275" s="104"/>
      <c r="D275" s="104"/>
      <c r="E275" s="104"/>
      <c r="F275" s="104"/>
      <c r="G275" s="104"/>
      <c r="H275" s="104"/>
    </row>
    <row r="276" spans="2:8">
      <c r="B276" s="104"/>
      <c r="C276" s="104"/>
      <c r="D276" s="104"/>
      <c r="E276" s="104"/>
      <c r="F276" s="104"/>
      <c r="G276" s="104"/>
      <c r="H276" s="104"/>
    </row>
    <row r="277" spans="2:8">
      <c r="B277" s="104"/>
      <c r="C277" s="104"/>
      <c r="D277" s="104"/>
      <c r="E277" s="104"/>
      <c r="F277" s="104"/>
      <c r="G277" s="104"/>
      <c r="H277" s="104"/>
    </row>
    <row r="278" spans="2:8">
      <c r="B278" s="104"/>
      <c r="C278" s="104"/>
      <c r="D278" s="104"/>
      <c r="E278" s="104"/>
      <c r="F278" s="104"/>
      <c r="G278" s="104"/>
      <c r="H278" s="104"/>
    </row>
    <row r="279" spans="2:8">
      <c r="B279" s="104"/>
      <c r="C279" s="104"/>
      <c r="D279" s="104"/>
      <c r="E279" s="104"/>
      <c r="F279" s="104"/>
      <c r="G279" s="104"/>
      <c r="H279" s="104"/>
    </row>
    <row r="280" spans="2:8">
      <c r="B280" s="104"/>
      <c r="C280" s="104"/>
      <c r="D280" s="104"/>
      <c r="E280" s="104"/>
      <c r="F280" s="104"/>
      <c r="G280" s="104"/>
      <c r="H280" s="104"/>
    </row>
    <row r="281" spans="2:8">
      <c r="B281" s="104"/>
      <c r="C281" s="104"/>
      <c r="D281" s="104"/>
      <c r="E281" s="104"/>
      <c r="F281" s="104"/>
      <c r="G281" s="104"/>
      <c r="H281" s="104"/>
    </row>
    <row r="282" spans="2:8">
      <c r="B282" s="104"/>
      <c r="C282" s="104"/>
      <c r="D282" s="104"/>
      <c r="E282" s="104"/>
      <c r="F282" s="104"/>
      <c r="G282" s="104"/>
      <c r="H282" s="104"/>
    </row>
    <row r="283" spans="2:8">
      <c r="B283" s="104"/>
      <c r="C283" s="104"/>
      <c r="D283" s="104"/>
      <c r="E283" s="104"/>
      <c r="F283" s="104"/>
      <c r="G283" s="104"/>
      <c r="H283" s="104"/>
    </row>
    <row r="284" spans="2:8">
      <c r="B284" s="104"/>
      <c r="C284" s="104"/>
      <c r="D284" s="104"/>
      <c r="E284" s="104"/>
      <c r="F284" s="104"/>
      <c r="G284" s="104"/>
      <c r="H284" s="104"/>
    </row>
    <row r="285" spans="2:8">
      <c r="B285" s="104"/>
      <c r="C285" s="104"/>
      <c r="D285" s="104"/>
      <c r="E285" s="104"/>
      <c r="F285" s="104"/>
      <c r="G285" s="104"/>
      <c r="H285" s="104"/>
    </row>
    <row r="286" spans="2:8">
      <c r="B286" s="104"/>
      <c r="C286" s="104"/>
      <c r="D286" s="104"/>
      <c r="E286" s="104"/>
      <c r="F286" s="104"/>
      <c r="G286" s="104"/>
      <c r="H286" s="104"/>
    </row>
    <row r="287" spans="2:8">
      <c r="B287" s="104"/>
      <c r="C287" s="104"/>
      <c r="D287" s="104"/>
      <c r="E287" s="104"/>
      <c r="F287" s="104"/>
      <c r="G287" s="104"/>
      <c r="H287" s="104"/>
    </row>
    <row r="288" spans="2:8">
      <c r="B288" s="104"/>
      <c r="C288" s="104"/>
      <c r="D288" s="104"/>
      <c r="E288" s="104"/>
      <c r="F288" s="104"/>
      <c r="G288" s="104"/>
      <c r="H288" s="104"/>
    </row>
    <row r="289" spans="2:8">
      <c r="B289" s="104"/>
      <c r="C289" s="104"/>
      <c r="D289" s="104"/>
      <c r="E289" s="104"/>
      <c r="F289" s="104"/>
      <c r="G289" s="104"/>
      <c r="H289" s="104"/>
    </row>
    <row r="290" spans="2:8">
      <c r="B290" s="104"/>
      <c r="C290" s="104"/>
      <c r="D290" s="104"/>
      <c r="E290" s="104"/>
      <c r="F290" s="104"/>
      <c r="G290" s="104"/>
      <c r="H290" s="104"/>
    </row>
    <row r="291" spans="2:8">
      <c r="B291" s="104"/>
      <c r="C291" s="104"/>
      <c r="D291" s="104"/>
      <c r="E291" s="104"/>
      <c r="F291" s="104"/>
      <c r="G291" s="104"/>
      <c r="H291" s="104"/>
    </row>
    <row r="292" spans="2:8">
      <c r="B292" s="104"/>
      <c r="C292" s="104"/>
      <c r="D292" s="104"/>
      <c r="E292" s="104"/>
      <c r="F292" s="104"/>
      <c r="G292" s="104"/>
      <c r="H292" s="104"/>
    </row>
    <row r="293" spans="2:8">
      <c r="B293" s="104"/>
      <c r="C293" s="104"/>
      <c r="D293" s="104"/>
      <c r="E293" s="104"/>
      <c r="F293" s="104"/>
      <c r="G293" s="104"/>
      <c r="H293" s="104"/>
    </row>
    <row r="294" spans="2:8">
      <c r="B294" s="104"/>
      <c r="C294" s="104"/>
      <c r="D294" s="104"/>
      <c r="E294" s="104"/>
      <c r="F294" s="104"/>
      <c r="G294" s="104"/>
      <c r="H294" s="104"/>
    </row>
    <row r="295" spans="2:8">
      <c r="B295" s="104"/>
      <c r="C295" s="104"/>
      <c r="D295" s="104"/>
      <c r="E295" s="104"/>
      <c r="F295" s="104"/>
      <c r="G295" s="104"/>
      <c r="H295" s="104"/>
    </row>
    <row r="296" spans="2:8">
      <c r="B296" s="104"/>
      <c r="C296" s="104"/>
      <c r="D296" s="104"/>
      <c r="E296" s="104"/>
      <c r="F296" s="104"/>
      <c r="G296" s="104"/>
      <c r="H296" s="104"/>
    </row>
    <row r="297" spans="2:8">
      <c r="B297" s="104"/>
      <c r="C297" s="104"/>
      <c r="D297" s="104"/>
      <c r="E297" s="104"/>
      <c r="F297" s="104"/>
      <c r="G297" s="104"/>
      <c r="H297" s="104"/>
    </row>
    <row r="298" spans="2:8">
      <c r="B298" s="104"/>
      <c r="C298" s="104"/>
      <c r="D298" s="104"/>
      <c r="E298" s="104"/>
      <c r="F298" s="104"/>
      <c r="G298" s="104"/>
      <c r="H298" s="104"/>
    </row>
    <row r="299" spans="2:8">
      <c r="B299" s="104"/>
      <c r="C299" s="104"/>
      <c r="D299" s="104"/>
      <c r="E299" s="104"/>
      <c r="F299" s="104"/>
      <c r="G299" s="104"/>
      <c r="H299" s="104"/>
    </row>
    <row r="300" spans="2:8">
      <c r="B300" s="104"/>
      <c r="C300" s="104"/>
      <c r="D300" s="104"/>
      <c r="E300" s="104"/>
      <c r="F300" s="104"/>
      <c r="G300" s="104"/>
      <c r="H300" s="104"/>
    </row>
    <row r="301" spans="2:8">
      <c r="B301" s="104"/>
      <c r="C301" s="104"/>
      <c r="D301" s="104"/>
      <c r="E301" s="104"/>
      <c r="F301" s="104"/>
      <c r="G301" s="104"/>
      <c r="H301" s="104"/>
    </row>
    <row r="302" spans="2:8">
      <c r="B302" s="104"/>
      <c r="C302" s="104"/>
      <c r="D302" s="104"/>
      <c r="E302" s="104"/>
      <c r="F302" s="104"/>
      <c r="G302" s="104"/>
      <c r="H302" s="104"/>
    </row>
    <row r="303" spans="2:8">
      <c r="B303" s="104"/>
      <c r="C303" s="104"/>
      <c r="D303" s="104"/>
      <c r="E303" s="104"/>
      <c r="F303" s="104"/>
      <c r="G303" s="104"/>
      <c r="H303" s="104"/>
    </row>
    <row r="304" spans="2:8">
      <c r="B304" s="104"/>
      <c r="C304" s="104"/>
      <c r="D304" s="104"/>
      <c r="E304" s="104"/>
      <c r="F304" s="104"/>
      <c r="G304" s="104"/>
      <c r="H304" s="104"/>
    </row>
    <row r="305" spans="2:8">
      <c r="B305" s="104"/>
      <c r="C305" s="104"/>
      <c r="D305" s="104"/>
      <c r="E305" s="104"/>
      <c r="F305" s="104"/>
      <c r="G305" s="104"/>
      <c r="H305" s="104"/>
    </row>
    <row r="306" spans="2:8">
      <c r="B306" s="104"/>
      <c r="C306" s="104"/>
      <c r="D306" s="104"/>
      <c r="E306" s="104"/>
      <c r="F306" s="104"/>
      <c r="G306" s="104"/>
      <c r="H306" s="104"/>
    </row>
    <row r="307" spans="2:8">
      <c r="B307" s="104"/>
      <c r="C307" s="104"/>
      <c r="D307" s="104"/>
      <c r="E307" s="104"/>
      <c r="F307" s="104"/>
      <c r="G307" s="104"/>
      <c r="H307" s="104"/>
    </row>
    <row r="308" spans="2:8">
      <c r="B308" s="104"/>
      <c r="C308" s="104"/>
      <c r="D308" s="104"/>
      <c r="E308" s="104"/>
      <c r="F308" s="104"/>
      <c r="G308" s="104"/>
      <c r="H308" s="104"/>
    </row>
    <row r="309" spans="2:8">
      <c r="B309" s="104"/>
      <c r="C309" s="104"/>
      <c r="D309" s="104"/>
      <c r="E309" s="104"/>
      <c r="F309" s="104"/>
      <c r="G309" s="104"/>
      <c r="H309" s="104"/>
    </row>
    <row r="310" spans="2:8">
      <c r="B310" s="104"/>
      <c r="C310" s="104"/>
      <c r="D310" s="104"/>
      <c r="E310" s="104"/>
      <c r="F310" s="104"/>
      <c r="G310" s="104"/>
      <c r="H310" s="104"/>
    </row>
    <row r="311" spans="2:8">
      <c r="B311" s="104"/>
      <c r="C311" s="104"/>
      <c r="D311" s="104"/>
      <c r="E311" s="104"/>
      <c r="F311" s="104"/>
      <c r="G311" s="104"/>
      <c r="H311" s="104"/>
    </row>
    <row r="312" spans="2:8">
      <c r="B312" s="104"/>
      <c r="C312" s="104"/>
      <c r="D312" s="104"/>
      <c r="E312" s="104"/>
      <c r="F312" s="104"/>
      <c r="G312" s="104"/>
      <c r="H312" s="104"/>
    </row>
    <row r="313" spans="2:8">
      <c r="B313" s="104"/>
      <c r="C313" s="104"/>
      <c r="D313" s="104"/>
      <c r="E313" s="104"/>
      <c r="F313" s="104"/>
      <c r="G313" s="104"/>
      <c r="H313" s="104"/>
    </row>
    <row r="314" spans="2:8">
      <c r="B314" s="104"/>
      <c r="C314" s="104"/>
      <c r="D314" s="104"/>
      <c r="E314" s="104"/>
      <c r="F314" s="104"/>
      <c r="G314" s="104"/>
      <c r="H314" s="104"/>
    </row>
    <row r="315" spans="2:8">
      <c r="B315" s="104"/>
      <c r="C315" s="104"/>
      <c r="D315" s="104"/>
      <c r="E315" s="104"/>
      <c r="F315" s="104"/>
      <c r="G315" s="104"/>
      <c r="H315" s="104"/>
    </row>
    <row r="316" spans="2:8">
      <c r="B316" s="104"/>
      <c r="C316" s="104"/>
      <c r="D316" s="104"/>
      <c r="E316" s="104"/>
      <c r="F316" s="104"/>
      <c r="G316" s="104"/>
      <c r="H316" s="104"/>
    </row>
    <row r="317" spans="2:8">
      <c r="B317" s="104"/>
      <c r="C317" s="104"/>
      <c r="D317" s="104"/>
      <c r="E317" s="104"/>
      <c r="F317" s="104"/>
      <c r="G317" s="104"/>
      <c r="H317" s="104"/>
    </row>
    <row r="318" spans="2:8">
      <c r="B318" s="104"/>
      <c r="C318" s="104"/>
      <c r="D318" s="104"/>
      <c r="E318" s="104"/>
      <c r="F318" s="104"/>
      <c r="G318" s="104"/>
      <c r="H318" s="104"/>
    </row>
    <row r="319" spans="2:8">
      <c r="B319" s="104"/>
      <c r="C319" s="104"/>
      <c r="D319" s="104"/>
      <c r="E319" s="104"/>
      <c r="F319" s="104"/>
      <c r="G319" s="104"/>
      <c r="H319" s="104"/>
    </row>
    <row r="320" spans="2:8">
      <c r="B320" s="104"/>
      <c r="C320" s="104"/>
      <c r="D320" s="104"/>
      <c r="E320" s="104"/>
      <c r="F320" s="104"/>
      <c r="G320" s="104"/>
      <c r="H320" s="104"/>
    </row>
    <row r="321" spans="2:8">
      <c r="B321" s="104"/>
      <c r="C321" s="104"/>
      <c r="D321" s="104"/>
      <c r="E321" s="104"/>
      <c r="F321" s="104"/>
      <c r="G321" s="104"/>
      <c r="H321" s="104"/>
    </row>
    <row r="322" spans="2:8">
      <c r="B322" s="104"/>
      <c r="C322" s="104"/>
      <c r="D322" s="104"/>
      <c r="E322" s="104"/>
      <c r="F322" s="104"/>
      <c r="G322" s="104"/>
      <c r="H322" s="104"/>
    </row>
    <row r="323" spans="2:8">
      <c r="B323" s="104"/>
      <c r="C323" s="104"/>
      <c r="D323" s="104"/>
      <c r="E323" s="104"/>
      <c r="F323" s="104"/>
      <c r="G323" s="104"/>
      <c r="H323" s="104"/>
    </row>
    <row r="324" spans="2:8">
      <c r="B324" s="104"/>
      <c r="C324" s="104"/>
      <c r="D324" s="104"/>
      <c r="E324" s="104"/>
      <c r="F324" s="104"/>
      <c r="G324" s="104"/>
      <c r="H324" s="104"/>
    </row>
    <row r="325" spans="2:8">
      <c r="B325" s="104"/>
      <c r="C325" s="104"/>
      <c r="D325" s="104"/>
      <c r="E325" s="104"/>
      <c r="F325" s="104"/>
      <c r="G325" s="104"/>
      <c r="H325" s="104"/>
    </row>
    <row r="326" spans="2:8">
      <c r="B326" s="104"/>
      <c r="C326" s="104"/>
      <c r="D326" s="104"/>
      <c r="E326" s="104"/>
      <c r="F326" s="104"/>
      <c r="G326" s="104"/>
      <c r="H326" s="104"/>
    </row>
    <row r="327" spans="2:8">
      <c r="B327" s="104"/>
      <c r="C327" s="104"/>
      <c r="D327" s="104"/>
      <c r="E327" s="104"/>
      <c r="F327" s="104"/>
      <c r="G327" s="104"/>
      <c r="H327" s="104"/>
    </row>
    <row r="328" spans="2:8">
      <c r="B328" s="104"/>
      <c r="C328" s="104"/>
      <c r="D328" s="104"/>
      <c r="E328" s="104"/>
      <c r="F328" s="104"/>
      <c r="G328" s="104"/>
      <c r="H328" s="104"/>
    </row>
    <row r="329" spans="2:8">
      <c r="B329" s="104"/>
      <c r="C329" s="104"/>
      <c r="D329" s="104"/>
      <c r="E329" s="104"/>
      <c r="F329" s="104"/>
      <c r="G329" s="104"/>
      <c r="H329" s="104"/>
    </row>
    <row r="330" spans="2:8">
      <c r="B330" s="104"/>
      <c r="C330" s="104"/>
      <c r="D330" s="104"/>
      <c r="E330" s="104"/>
      <c r="F330" s="104"/>
      <c r="G330" s="104"/>
      <c r="H330" s="104"/>
    </row>
    <row r="331" spans="2:8">
      <c r="B331" s="104"/>
      <c r="C331" s="104"/>
      <c r="D331" s="104"/>
      <c r="E331" s="104"/>
      <c r="F331" s="104"/>
      <c r="G331" s="104"/>
      <c r="H331" s="104"/>
    </row>
    <row r="332" spans="2:8">
      <c r="B332" s="104"/>
      <c r="C332" s="104"/>
      <c r="D332" s="104"/>
      <c r="E332" s="104"/>
      <c r="F332" s="104"/>
      <c r="G332" s="104"/>
      <c r="H332" s="104"/>
    </row>
    <row r="333" spans="2:8">
      <c r="B333" s="104"/>
      <c r="C333" s="104"/>
      <c r="D333" s="104"/>
      <c r="E333" s="104"/>
      <c r="F333" s="104"/>
      <c r="G333" s="104"/>
      <c r="H333" s="104"/>
    </row>
    <row r="334" spans="2:8">
      <c r="B334" s="104"/>
      <c r="C334" s="104"/>
      <c r="D334" s="104"/>
      <c r="E334" s="104"/>
      <c r="F334" s="104"/>
      <c r="G334" s="104"/>
      <c r="H334" s="104"/>
    </row>
    <row r="335" spans="2:8">
      <c r="B335" s="104"/>
      <c r="C335" s="104"/>
      <c r="D335" s="104"/>
      <c r="E335" s="104"/>
      <c r="F335" s="104"/>
      <c r="G335" s="104"/>
      <c r="H335" s="104"/>
    </row>
    <row r="336" spans="2:8">
      <c r="B336" s="104"/>
      <c r="C336" s="104"/>
      <c r="D336" s="104"/>
      <c r="E336" s="104"/>
      <c r="F336" s="104"/>
      <c r="G336" s="104"/>
      <c r="H336" s="104"/>
    </row>
    <row r="337" spans="2:8">
      <c r="B337" s="104"/>
      <c r="C337" s="104"/>
      <c r="D337" s="104"/>
      <c r="E337" s="104"/>
      <c r="F337" s="104"/>
      <c r="G337" s="104"/>
      <c r="H337" s="104"/>
    </row>
    <row r="338" spans="2:8">
      <c r="B338" s="104"/>
      <c r="C338" s="104"/>
      <c r="D338" s="104"/>
      <c r="E338" s="104"/>
      <c r="F338" s="104"/>
      <c r="G338" s="104"/>
      <c r="H338" s="104"/>
    </row>
    <row r="339" spans="2:8">
      <c r="B339" s="104"/>
      <c r="C339" s="104"/>
      <c r="D339" s="104"/>
      <c r="E339" s="104"/>
      <c r="F339" s="104"/>
      <c r="G339" s="104"/>
      <c r="H339" s="104"/>
    </row>
    <row r="340" spans="2:8">
      <c r="B340" s="104"/>
      <c r="C340" s="104"/>
      <c r="D340" s="104"/>
      <c r="E340" s="104"/>
      <c r="F340" s="104"/>
      <c r="G340" s="104"/>
      <c r="H340" s="104"/>
    </row>
    <row r="341" spans="2:8">
      <c r="B341" s="104"/>
      <c r="C341" s="104"/>
      <c r="D341" s="104"/>
      <c r="E341" s="104"/>
      <c r="F341" s="104"/>
      <c r="G341" s="104"/>
      <c r="H341" s="104"/>
    </row>
    <row r="342" spans="2:8">
      <c r="B342" s="104"/>
      <c r="C342" s="104"/>
      <c r="D342" s="104"/>
      <c r="E342" s="104"/>
      <c r="F342" s="104"/>
      <c r="G342" s="104"/>
      <c r="H342" s="104"/>
    </row>
    <row r="343" spans="2:8">
      <c r="B343" s="104"/>
      <c r="C343" s="104"/>
      <c r="D343" s="104"/>
      <c r="E343" s="104"/>
      <c r="F343" s="104"/>
      <c r="G343" s="104"/>
      <c r="H343" s="104"/>
    </row>
    <row r="344" spans="2:8">
      <c r="B344" s="104"/>
      <c r="C344" s="104"/>
      <c r="D344" s="104"/>
      <c r="E344" s="104"/>
      <c r="F344" s="104"/>
      <c r="G344" s="104"/>
      <c r="H344" s="104"/>
    </row>
    <row r="345" spans="2:8">
      <c r="B345" s="104"/>
      <c r="C345" s="104"/>
      <c r="D345" s="104"/>
      <c r="E345" s="104"/>
      <c r="F345" s="104"/>
      <c r="G345" s="104"/>
      <c r="H345" s="104"/>
    </row>
    <row r="346" spans="2:8">
      <c r="B346" s="104"/>
      <c r="C346" s="104"/>
      <c r="D346" s="104"/>
      <c r="E346" s="104"/>
      <c r="F346" s="104"/>
      <c r="G346" s="104"/>
      <c r="H346" s="104"/>
    </row>
    <row r="347" spans="2:8">
      <c r="B347" s="104"/>
      <c r="C347" s="104"/>
      <c r="D347" s="104"/>
      <c r="E347" s="104"/>
      <c r="F347" s="104"/>
      <c r="G347" s="104"/>
      <c r="H347" s="104"/>
    </row>
    <row r="348" spans="2:8">
      <c r="B348" s="104"/>
      <c r="C348" s="104"/>
      <c r="D348" s="104"/>
      <c r="E348" s="104"/>
      <c r="F348" s="104"/>
      <c r="G348" s="104"/>
      <c r="H348" s="104"/>
    </row>
    <row r="349" spans="2:8">
      <c r="B349" s="104"/>
      <c r="C349" s="104"/>
      <c r="D349" s="104"/>
      <c r="E349" s="104"/>
      <c r="F349" s="104"/>
      <c r="G349" s="104"/>
      <c r="H349" s="104"/>
    </row>
    <row r="350" spans="2:8">
      <c r="B350" s="104"/>
      <c r="C350" s="104"/>
      <c r="D350" s="104"/>
      <c r="E350" s="104"/>
      <c r="F350" s="104"/>
      <c r="G350" s="104"/>
      <c r="H350" s="104"/>
    </row>
    <row r="351" spans="2:8">
      <c r="B351" s="104"/>
      <c r="C351" s="104"/>
      <c r="D351" s="104"/>
      <c r="E351" s="104"/>
      <c r="F351" s="104"/>
      <c r="G351" s="104"/>
      <c r="H351" s="104"/>
    </row>
    <row r="352" spans="2:8">
      <c r="B352" s="104"/>
      <c r="C352" s="104"/>
      <c r="D352" s="104"/>
      <c r="E352" s="104"/>
      <c r="F352" s="104"/>
      <c r="G352" s="104"/>
      <c r="H352" s="104"/>
    </row>
    <row r="353" spans="2:8">
      <c r="B353" s="104"/>
      <c r="C353" s="104"/>
      <c r="D353" s="104"/>
      <c r="E353" s="104"/>
      <c r="F353" s="104"/>
      <c r="G353" s="104"/>
      <c r="H353" s="104"/>
    </row>
    <row r="354" spans="2:8">
      <c r="B354" s="104"/>
      <c r="C354" s="104"/>
      <c r="D354" s="104"/>
      <c r="E354" s="104"/>
      <c r="F354" s="104"/>
      <c r="G354" s="104"/>
      <c r="H354" s="104"/>
    </row>
    <row r="355" spans="2:8">
      <c r="B355" s="104"/>
      <c r="C355" s="104"/>
      <c r="D355" s="104"/>
      <c r="E355" s="104"/>
      <c r="F355" s="104"/>
      <c r="G355" s="104"/>
      <c r="H355" s="104"/>
    </row>
    <row r="356" spans="2:8">
      <c r="B356" s="104"/>
      <c r="C356" s="104"/>
      <c r="D356" s="104"/>
      <c r="E356" s="104"/>
      <c r="F356" s="104"/>
      <c r="G356" s="104"/>
      <c r="H356" s="104"/>
    </row>
    <row r="357" spans="2:8">
      <c r="B357" s="104"/>
      <c r="C357" s="104"/>
      <c r="D357" s="104"/>
      <c r="E357" s="104"/>
      <c r="F357" s="104"/>
      <c r="G357" s="104"/>
      <c r="H357" s="104"/>
    </row>
    <row r="358" spans="2:8">
      <c r="B358" s="104"/>
      <c r="C358" s="104"/>
      <c r="D358" s="104"/>
      <c r="E358" s="104"/>
      <c r="F358" s="104"/>
      <c r="G358" s="104"/>
      <c r="H358" s="104"/>
    </row>
    <row r="359" spans="2:8">
      <c r="B359" s="104"/>
      <c r="C359" s="104"/>
      <c r="D359" s="104"/>
      <c r="E359" s="104"/>
      <c r="F359" s="104"/>
      <c r="G359" s="104"/>
      <c r="H359" s="104"/>
    </row>
    <row r="360" spans="2:8">
      <c r="B360" s="104"/>
      <c r="C360" s="104"/>
      <c r="D360" s="104"/>
      <c r="E360" s="104"/>
      <c r="F360" s="104"/>
      <c r="G360" s="104"/>
      <c r="H360" s="104"/>
    </row>
    <row r="361" spans="2:8">
      <c r="B361" s="104"/>
      <c r="C361" s="104"/>
      <c r="D361" s="104"/>
      <c r="E361" s="104"/>
      <c r="F361" s="104"/>
      <c r="G361" s="104"/>
      <c r="H361" s="104"/>
    </row>
    <row r="362" spans="2:8">
      <c r="B362" s="104"/>
      <c r="C362" s="104"/>
      <c r="D362" s="104"/>
      <c r="E362" s="104"/>
      <c r="F362" s="104"/>
      <c r="G362" s="104"/>
      <c r="H362" s="104"/>
    </row>
    <row r="363" spans="2:8">
      <c r="B363" s="104"/>
      <c r="C363" s="104"/>
      <c r="D363" s="104"/>
      <c r="E363" s="104"/>
      <c r="F363" s="104"/>
      <c r="G363" s="104"/>
      <c r="H363" s="104"/>
    </row>
    <row r="364" spans="2:8">
      <c r="B364" s="104"/>
      <c r="C364" s="104"/>
      <c r="D364" s="104"/>
      <c r="E364" s="104"/>
      <c r="F364" s="104"/>
      <c r="G364" s="104"/>
      <c r="H364" s="104"/>
    </row>
    <row r="365" spans="2:8">
      <c r="B365" s="104"/>
      <c r="C365" s="104"/>
      <c r="D365" s="104"/>
      <c r="E365" s="104"/>
      <c r="F365" s="104"/>
      <c r="G365" s="104"/>
      <c r="H365" s="104"/>
    </row>
    <row r="366" spans="2:8">
      <c r="B366" s="104"/>
      <c r="C366" s="104"/>
      <c r="D366" s="104"/>
      <c r="E366" s="104"/>
      <c r="F366" s="104"/>
      <c r="G366" s="104"/>
      <c r="H366" s="104"/>
    </row>
    <row r="367" spans="2:8">
      <c r="B367" s="104"/>
      <c r="C367" s="104"/>
      <c r="D367" s="104"/>
      <c r="E367" s="104"/>
      <c r="F367" s="104"/>
      <c r="G367" s="104"/>
      <c r="H367" s="104"/>
    </row>
    <row r="368" spans="2:8">
      <c r="B368" s="104"/>
      <c r="C368" s="104"/>
      <c r="D368" s="104"/>
      <c r="E368" s="104"/>
      <c r="F368" s="104"/>
      <c r="G368" s="104"/>
      <c r="H368" s="104"/>
    </row>
    <row r="369" spans="2:8">
      <c r="B369" s="104"/>
      <c r="C369" s="104"/>
      <c r="D369" s="104"/>
      <c r="E369" s="104"/>
      <c r="F369" s="104"/>
      <c r="G369" s="104"/>
      <c r="H369" s="104"/>
    </row>
    <row r="370" spans="2:8">
      <c r="B370" s="104"/>
      <c r="C370" s="104"/>
      <c r="D370" s="104"/>
      <c r="E370" s="104"/>
      <c r="F370" s="104"/>
      <c r="G370" s="104"/>
      <c r="H370" s="104"/>
    </row>
    <row r="371" spans="2:8">
      <c r="B371" s="104"/>
      <c r="C371" s="104"/>
      <c r="D371" s="104"/>
      <c r="E371" s="104"/>
      <c r="F371" s="104"/>
      <c r="G371" s="104"/>
      <c r="H371" s="104"/>
    </row>
    <row r="372" spans="2:8">
      <c r="B372" s="104"/>
      <c r="C372" s="104"/>
      <c r="D372" s="104"/>
      <c r="E372" s="104"/>
      <c r="F372" s="104"/>
      <c r="G372" s="104"/>
      <c r="H372" s="104"/>
    </row>
    <row r="373" spans="2:8">
      <c r="B373" s="104"/>
      <c r="C373" s="104"/>
      <c r="D373" s="104"/>
      <c r="E373" s="104"/>
      <c r="F373" s="104"/>
      <c r="G373" s="104"/>
      <c r="H373" s="104"/>
    </row>
    <row r="374" spans="2:8">
      <c r="B374" s="104"/>
      <c r="C374" s="104"/>
      <c r="D374" s="104"/>
      <c r="E374" s="104"/>
      <c r="F374" s="104"/>
      <c r="G374" s="104"/>
      <c r="H374" s="104"/>
    </row>
    <row r="375" spans="2:8">
      <c r="B375" s="104"/>
      <c r="C375" s="104"/>
      <c r="D375" s="104"/>
      <c r="E375" s="104"/>
      <c r="F375" s="104"/>
      <c r="G375" s="104"/>
      <c r="H375" s="104"/>
    </row>
    <row r="376" spans="2:8">
      <c r="B376" s="104"/>
      <c r="C376" s="104"/>
      <c r="D376" s="104"/>
      <c r="E376" s="104"/>
      <c r="F376" s="104"/>
      <c r="G376" s="104"/>
      <c r="H376" s="104"/>
    </row>
    <row r="377" spans="2:8">
      <c r="B377" s="104"/>
      <c r="C377" s="104"/>
      <c r="D377" s="104"/>
      <c r="E377" s="104"/>
      <c r="F377" s="104"/>
      <c r="G377" s="104"/>
      <c r="H377" s="104"/>
    </row>
    <row r="378" spans="2:8">
      <c r="B378" s="104"/>
      <c r="C378" s="104"/>
      <c r="D378" s="104"/>
      <c r="E378" s="104"/>
      <c r="F378" s="104"/>
      <c r="G378" s="104"/>
      <c r="H378" s="104"/>
    </row>
    <row r="379" spans="2:8">
      <c r="B379" s="104"/>
      <c r="C379" s="104"/>
      <c r="D379" s="104"/>
      <c r="E379" s="104"/>
      <c r="F379" s="104"/>
      <c r="G379" s="104"/>
      <c r="H379" s="104"/>
    </row>
    <row r="380" spans="2:8">
      <c r="B380" s="104"/>
      <c r="C380" s="104"/>
      <c r="D380" s="104"/>
      <c r="E380" s="104"/>
      <c r="F380" s="104"/>
      <c r="G380" s="104"/>
      <c r="H380" s="104"/>
    </row>
    <row r="381" spans="2:8">
      <c r="B381" s="104"/>
      <c r="C381" s="104"/>
      <c r="D381" s="104"/>
      <c r="E381" s="104"/>
      <c r="F381" s="104"/>
      <c r="G381" s="104"/>
      <c r="H381" s="104"/>
    </row>
    <row r="382" spans="2:8">
      <c r="B382" s="104"/>
      <c r="C382" s="104"/>
      <c r="D382" s="104"/>
      <c r="E382" s="104"/>
      <c r="F382" s="104"/>
      <c r="G382" s="104"/>
      <c r="H382" s="104"/>
    </row>
    <row r="383" spans="2:8">
      <c r="B383" s="104"/>
      <c r="C383" s="104"/>
      <c r="D383" s="104"/>
      <c r="E383" s="104"/>
      <c r="F383" s="104"/>
      <c r="G383" s="104"/>
      <c r="H383" s="104"/>
    </row>
    <row r="384" spans="2:8">
      <c r="B384" s="104"/>
      <c r="C384" s="104"/>
      <c r="D384" s="104"/>
      <c r="E384" s="104"/>
      <c r="F384" s="104"/>
      <c r="G384" s="104"/>
      <c r="H384" s="104"/>
    </row>
    <row r="385" spans="2:8">
      <c r="B385" s="104"/>
      <c r="C385" s="104"/>
      <c r="D385" s="104"/>
      <c r="E385" s="104"/>
      <c r="F385" s="104"/>
      <c r="G385" s="104"/>
      <c r="H385" s="104"/>
    </row>
    <row r="386" spans="2:8">
      <c r="B386" s="104"/>
      <c r="C386" s="104"/>
      <c r="D386" s="104"/>
      <c r="E386" s="104"/>
      <c r="F386" s="104"/>
      <c r="G386" s="104"/>
      <c r="H386" s="104"/>
    </row>
    <row r="387" spans="2:8">
      <c r="B387" s="104"/>
      <c r="C387" s="104"/>
      <c r="D387" s="104"/>
      <c r="E387" s="104"/>
      <c r="F387" s="104"/>
      <c r="G387" s="104"/>
      <c r="H387" s="104"/>
    </row>
    <row r="388" spans="2:8">
      <c r="B388" s="104"/>
      <c r="C388" s="104"/>
      <c r="D388" s="104"/>
      <c r="E388" s="104"/>
      <c r="F388" s="104"/>
      <c r="G388" s="104"/>
      <c r="H388" s="104"/>
    </row>
    <row r="389" spans="2:8">
      <c r="B389" s="104"/>
      <c r="C389" s="104"/>
      <c r="D389" s="104"/>
      <c r="E389" s="104"/>
      <c r="F389" s="104"/>
      <c r="G389" s="104"/>
      <c r="H389" s="104"/>
    </row>
    <row r="390" spans="2:8">
      <c r="B390" s="104"/>
      <c r="C390" s="104"/>
      <c r="D390" s="104"/>
      <c r="E390" s="104"/>
      <c r="F390" s="104"/>
      <c r="G390" s="104"/>
      <c r="H390" s="104"/>
    </row>
    <row r="391" spans="2:8">
      <c r="B391" s="104"/>
      <c r="C391" s="104"/>
      <c r="D391" s="104"/>
      <c r="E391" s="104"/>
      <c r="F391" s="104"/>
      <c r="G391" s="104"/>
      <c r="H391" s="104"/>
    </row>
    <row r="392" spans="2:8">
      <c r="B392" s="104"/>
      <c r="C392" s="104"/>
      <c r="D392" s="104"/>
      <c r="E392" s="104"/>
      <c r="F392" s="104"/>
      <c r="G392" s="104"/>
      <c r="H392" s="104"/>
    </row>
    <row r="393" spans="2:8">
      <c r="B393" s="104"/>
      <c r="C393" s="104"/>
      <c r="D393" s="104"/>
      <c r="E393" s="104"/>
      <c r="F393" s="104"/>
      <c r="G393" s="104"/>
      <c r="H393" s="104"/>
    </row>
    <row r="394" spans="2:8">
      <c r="B394" s="104"/>
      <c r="C394" s="104"/>
      <c r="D394" s="104"/>
      <c r="E394" s="104"/>
      <c r="F394" s="104"/>
      <c r="G394" s="104"/>
      <c r="H394" s="104"/>
    </row>
    <row r="395" spans="2:8">
      <c r="B395" s="104"/>
      <c r="C395" s="104"/>
      <c r="D395" s="104"/>
      <c r="E395" s="104"/>
      <c r="F395" s="104"/>
      <c r="G395" s="104"/>
      <c r="H395" s="104"/>
    </row>
    <row r="396" spans="2:8">
      <c r="B396" s="104"/>
      <c r="C396" s="104"/>
      <c r="D396" s="104"/>
      <c r="E396" s="104"/>
      <c r="F396" s="104"/>
      <c r="G396" s="104"/>
      <c r="H396" s="104"/>
    </row>
    <row r="397" spans="2:8">
      <c r="B397" s="104"/>
      <c r="C397" s="104"/>
      <c r="D397" s="104"/>
      <c r="E397" s="104"/>
      <c r="F397" s="104"/>
      <c r="G397" s="104"/>
      <c r="H397" s="104"/>
    </row>
    <row r="398" spans="2:8">
      <c r="B398" s="104"/>
      <c r="C398" s="104"/>
      <c r="D398" s="104"/>
      <c r="E398" s="104"/>
      <c r="F398" s="104"/>
      <c r="G398" s="104"/>
      <c r="H398" s="104"/>
    </row>
    <row r="399" spans="2:8">
      <c r="B399" s="104"/>
      <c r="C399" s="104"/>
      <c r="D399" s="104"/>
      <c r="E399" s="104"/>
      <c r="F399" s="104"/>
      <c r="G399" s="104"/>
      <c r="H399" s="104"/>
    </row>
    <row r="400" spans="2:8">
      <c r="B400" s="104"/>
      <c r="C400" s="104"/>
      <c r="D400" s="104"/>
      <c r="E400" s="104"/>
      <c r="F400" s="104"/>
      <c r="G400" s="104"/>
      <c r="H400" s="104"/>
    </row>
    <row r="401" spans="2:8">
      <c r="B401" s="104"/>
      <c r="C401" s="104"/>
      <c r="D401" s="104"/>
      <c r="E401" s="104"/>
      <c r="F401" s="104"/>
      <c r="G401" s="104"/>
      <c r="H401" s="104"/>
    </row>
    <row r="402" spans="2:8">
      <c r="B402" s="104"/>
      <c r="C402" s="104"/>
      <c r="D402" s="104"/>
      <c r="E402" s="104"/>
      <c r="F402" s="104"/>
      <c r="G402" s="104"/>
      <c r="H402" s="104"/>
    </row>
    <row r="403" spans="2:8">
      <c r="B403" s="104"/>
      <c r="C403" s="104"/>
      <c r="D403" s="104"/>
      <c r="E403" s="104"/>
      <c r="F403" s="104"/>
      <c r="G403" s="104"/>
      <c r="H403" s="104"/>
    </row>
    <row r="404" spans="2:8">
      <c r="B404" s="104"/>
      <c r="C404" s="104"/>
      <c r="D404" s="104"/>
      <c r="E404" s="104"/>
      <c r="F404" s="104"/>
      <c r="G404" s="104"/>
      <c r="H404" s="104"/>
    </row>
    <row r="405" spans="2:8">
      <c r="B405" s="104"/>
      <c r="C405" s="104"/>
      <c r="D405" s="104"/>
      <c r="E405" s="104"/>
      <c r="F405" s="104"/>
      <c r="G405" s="104"/>
      <c r="H405" s="104"/>
    </row>
    <row r="406" spans="2:8">
      <c r="B406" s="104"/>
      <c r="C406" s="104"/>
      <c r="D406" s="104"/>
      <c r="E406" s="104"/>
      <c r="F406" s="104"/>
      <c r="G406" s="104"/>
      <c r="H406" s="104"/>
    </row>
    <row r="407" spans="2:8">
      <c r="B407" s="104"/>
      <c r="C407" s="104"/>
      <c r="D407" s="104"/>
      <c r="E407" s="104"/>
      <c r="F407" s="104"/>
      <c r="G407" s="104"/>
      <c r="H407" s="104"/>
    </row>
    <row r="408" spans="2:8">
      <c r="B408" s="104"/>
      <c r="C408" s="104"/>
      <c r="D408" s="104"/>
      <c r="E408" s="104"/>
      <c r="F408" s="104"/>
      <c r="G408" s="104"/>
      <c r="H408" s="104"/>
    </row>
    <row r="409" spans="2:8">
      <c r="B409" s="104"/>
      <c r="C409" s="104"/>
      <c r="D409" s="104"/>
      <c r="E409" s="104"/>
      <c r="F409" s="104"/>
      <c r="G409" s="104"/>
      <c r="H409" s="104"/>
    </row>
    <row r="410" spans="2:8">
      <c r="B410" s="104"/>
      <c r="C410" s="104"/>
      <c r="D410" s="104"/>
      <c r="E410" s="104"/>
      <c r="F410" s="104"/>
      <c r="G410" s="104"/>
      <c r="H410" s="104"/>
    </row>
    <row r="411" spans="2:8">
      <c r="B411" s="104"/>
      <c r="C411" s="104"/>
      <c r="D411" s="104"/>
      <c r="E411" s="104"/>
      <c r="F411" s="104"/>
      <c r="G411" s="104"/>
      <c r="H411" s="104"/>
    </row>
    <row r="412" spans="2:8">
      <c r="B412" s="104"/>
      <c r="C412" s="104"/>
      <c r="D412" s="104"/>
      <c r="E412" s="104"/>
      <c r="F412" s="104"/>
      <c r="G412" s="104"/>
      <c r="H412" s="104"/>
    </row>
    <row r="413" spans="2:8">
      <c r="B413" s="104"/>
      <c r="C413" s="104"/>
      <c r="D413" s="104"/>
      <c r="E413" s="104"/>
      <c r="F413" s="104"/>
      <c r="G413" s="104"/>
      <c r="H413" s="104"/>
    </row>
    <row r="414" spans="2:8">
      <c r="B414" s="104"/>
      <c r="C414" s="104"/>
      <c r="D414" s="104"/>
      <c r="E414" s="104"/>
      <c r="F414" s="104"/>
      <c r="G414" s="104"/>
      <c r="H414" s="104"/>
    </row>
    <row r="415" spans="2:8">
      <c r="B415" s="104"/>
      <c r="C415" s="104"/>
      <c r="D415" s="104"/>
      <c r="E415" s="104"/>
      <c r="F415" s="104"/>
      <c r="G415" s="104"/>
      <c r="H415" s="104"/>
    </row>
    <row r="416" spans="2:8">
      <c r="B416" s="104"/>
      <c r="C416" s="104"/>
      <c r="D416" s="104"/>
      <c r="E416" s="104"/>
      <c r="F416" s="104"/>
      <c r="G416" s="104"/>
      <c r="H416" s="104"/>
    </row>
    <row r="417" spans="2:8">
      <c r="B417" s="104"/>
      <c r="C417" s="104"/>
      <c r="D417" s="104"/>
      <c r="E417" s="104"/>
      <c r="F417" s="104"/>
      <c r="G417" s="104"/>
      <c r="H417" s="104"/>
    </row>
    <row r="418" spans="2:8">
      <c r="B418" s="104"/>
      <c r="C418" s="104"/>
      <c r="D418" s="104"/>
      <c r="E418" s="104"/>
      <c r="F418" s="104"/>
      <c r="G418" s="104"/>
      <c r="H418" s="104"/>
    </row>
    <row r="419" spans="2:8">
      <c r="B419" s="104"/>
      <c r="C419" s="104"/>
      <c r="D419" s="104"/>
      <c r="E419" s="104"/>
      <c r="F419" s="104"/>
      <c r="G419" s="104"/>
      <c r="H419" s="104"/>
    </row>
    <row r="420" spans="2:8">
      <c r="B420" s="104"/>
      <c r="C420" s="104"/>
      <c r="D420" s="104"/>
      <c r="E420" s="104"/>
      <c r="F420" s="104"/>
      <c r="G420" s="104"/>
      <c r="H420" s="104"/>
    </row>
    <row r="421" spans="2:8">
      <c r="B421" s="104"/>
      <c r="C421" s="104"/>
      <c r="D421" s="104"/>
      <c r="E421" s="104"/>
      <c r="F421" s="104"/>
      <c r="G421" s="104"/>
      <c r="H421" s="104"/>
    </row>
    <row r="422" spans="2:8">
      <c r="B422" s="104"/>
      <c r="C422" s="104"/>
      <c r="D422" s="104"/>
      <c r="E422" s="104"/>
      <c r="F422" s="104"/>
      <c r="G422" s="104"/>
      <c r="H422" s="104"/>
    </row>
    <row r="423" spans="2:8">
      <c r="B423" s="104"/>
      <c r="C423" s="104"/>
      <c r="D423" s="104"/>
      <c r="E423" s="104"/>
      <c r="F423" s="104"/>
      <c r="G423" s="104"/>
      <c r="H423" s="104"/>
    </row>
    <row r="424" spans="2:8">
      <c r="B424" s="104"/>
      <c r="C424" s="104"/>
      <c r="D424" s="104"/>
      <c r="E424" s="104"/>
      <c r="F424" s="104"/>
      <c r="G424" s="104"/>
      <c r="H424" s="104"/>
    </row>
    <row r="425" spans="2:8">
      <c r="B425" s="104"/>
      <c r="C425" s="104"/>
      <c r="D425" s="104"/>
      <c r="E425" s="104"/>
      <c r="F425" s="104"/>
      <c r="G425" s="104"/>
      <c r="H425" s="104"/>
    </row>
    <row r="426" spans="2:8">
      <c r="B426" s="104"/>
      <c r="C426" s="104"/>
      <c r="D426" s="104"/>
      <c r="E426" s="104"/>
      <c r="F426" s="104"/>
      <c r="G426" s="104"/>
      <c r="H426" s="104"/>
    </row>
    <row r="427" spans="2:8">
      <c r="B427" s="104"/>
      <c r="C427" s="104"/>
      <c r="D427" s="104"/>
      <c r="E427" s="104"/>
      <c r="F427" s="104"/>
      <c r="G427" s="104"/>
      <c r="H427" s="104"/>
    </row>
    <row r="428" spans="2:8">
      <c r="B428" s="104"/>
      <c r="C428" s="104"/>
      <c r="D428" s="104"/>
      <c r="E428" s="104"/>
      <c r="F428" s="104"/>
      <c r="G428" s="104"/>
      <c r="H428" s="104"/>
    </row>
    <row r="429" spans="2:8">
      <c r="B429" s="104"/>
      <c r="C429" s="104"/>
      <c r="D429" s="104"/>
      <c r="E429" s="104"/>
      <c r="F429" s="104"/>
      <c r="G429" s="104"/>
      <c r="H429" s="104"/>
    </row>
    <row r="430" spans="2:8">
      <c r="B430" s="104"/>
      <c r="C430" s="104"/>
      <c r="D430" s="104"/>
      <c r="E430" s="104"/>
      <c r="F430" s="104"/>
      <c r="G430" s="104"/>
      <c r="H430" s="104"/>
    </row>
    <row r="431" spans="2:8">
      <c r="B431" s="104"/>
      <c r="C431" s="104"/>
      <c r="D431" s="104"/>
      <c r="E431" s="104"/>
      <c r="F431" s="104"/>
      <c r="G431" s="104"/>
      <c r="H431" s="104"/>
    </row>
    <row r="432" spans="2:8">
      <c r="B432" s="104"/>
      <c r="C432" s="104"/>
      <c r="D432" s="104"/>
      <c r="E432" s="104"/>
      <c r="F432" s="104"/>
      <c r="G432" s="104"/>
      <c r="H432" s="104"/>
    </row>
    <row r="433" spans="2:8">
      <c r="B433" s="104"/>
      <c r="C433" s="104"/>
      <c r="D433" s="104"/>
      <c r="E433" s="104"/>
      <c r="F433" s="104"/>
      <c r="G433" s="104"/>
      <c r="H433" s="104"/>
    </row>
    <row r="434" spans="2:8">
      <c r="B434" s="104"/>
      <c r="C434" s="104"/>
      <c r="D434" s="104"/>
      <c r="E434" s="104"/>
      <c r="F434" s="104"/>
      <c r="G434" s="104"/>
      <c r="H434" s="104"/>
    </row>
    <row r="435" spans="2:8">
      <c r="B435" s="104"/>
      <c r="C435" s="104"/>
      <c r="D435" s="104"/>
      <c r="E435" s="104"/>
      <c r="F435" s="104"/>
      <c r="G435" s="104"/>
      <c r="H435" s="104"/>
    </row>
    <row r="436" spans="2:8">
      <c r="B436" s="104"/>
      <c r="C436" s="104"/>
      <c r="D436" s="104"/>
      <c r="E436" s="104"/>
      <c r="F436" s="104"/>
      <c r="G436" s="104"/>
      <c r="H436" s="104"/>
    </row>
    <row r="437" spans="2:8">
      <c r="B437" s="104"/>
      <c r="C437" s="104"/>
      <c r="D437" s="104"/>
      <c r="E437" s="104"/>
      <c r="F437" s="104"/>
      <c r="G437" s="104"/>
      <c r="H437" s="104"/>
    </row>
    <row r="438" spans="2:8">
      <c r="B438" s="104"/>
      <c r="C438" s="104"/>
      <c r="D438" s="104"/>
      <c r="E438" s="104"/>
      <c r="F438" s="104"/>
      <c r="G438" s="104"/>
      <c r="H438" s="104"/>
    </row>
    <row r="439" spans="2:8">
      <c r="B439" s="104"/>
      <c r="C439" s="104"/>
      <c r="D439" s="104"/>
      <c r="E439" s="104"/>
      <c r="F439" s="104"/>
      <c r="G439" s="104"/>
      <c r="H439" s="104"/>
    </row>
    <row r="440" spans="2:8">
      <c r="B440" s="104"/>
      <c r="C440" s="104"/>
      <c r="D440" s="104"/>
      <c r="E440" s="104"/>
      <c r="F440" s="104"/>
      <c r="G440" s="104"/>
      <c r="H440" s="104"/>
    </row>
    <row r="441" spans="2:8">
      <c r="B441" s="104"/>
      <c r="C441" s="104"/>
      <c r="D441" s="104"/>
      <c r="E441" s="104"/>
      <c r="F441" s="104"/>
      <c r="G441" s="104"/>
      <c r="H441" s="104"/>
    </row>
    <row r="442" spans="2:8">
      <c r="B442" s="104"/>
      <c r="C442" s="104"/>
      <c r="D442" s="104"/>
      <c r="E442" s="104"/>
      <c r="F442" s="104"/>
      <c r="G442" s="104"/>
      <c r="H442" s="104"/>
    </row>
    <row r="443" spans="2:8">
      <c r="B443" s="104"/>
      <c r="C443" s="104"/>
      <c r="D443" s="104"/>
      <c r="E443" s="104"/>
      <c r="F443" s="104"/>
      <c r="G443" s="104"/>
      <c r="H443" s="104"/>
    </row>
    <row r="444" spans="2:8">
      <c r="B444" s="104"/>
      <c r="C444" s="104"/>
      <c r="D444" s="104"/>
      <c r="E444" s="104"/>
      <c r="F444" s="104"/>
      <c r="G444" s="104"/>
      <c r="H444" s="104"/>
    </row>
    <row r="445" spans="2:8">
      <c r="B445" s="104"/>
      <c r="C445" s="104"/>
      <c r="D445" s="104"/>
      <c r="E445" s="104"/>
      <c r="F445" s="104"/>
      <c r="G445" s="104"/>
      <c r="H445" s="104"/>
    </row>
    <row r="446" spans="2:8">
      <c r="B446" s="104"/>
      <c r="C446" s="104"/>
      <c r="D446" s="104"/>
      <c r="E446" s="104"/>
      <c r="F446" s="104"/>
      <c r="G446" s="104"/>
      <c r="H446" s="104"/>
    </row>
    <row r="447" spans="2:8">
      <c r="B447" s="104"/>
      <c r="C447" s="104"/>
      <c r="D447" s="104"/>
      <c r="E447" s="104"/>
      <c r="F447" s="104"/>
      <c r="G447" s="104"/>
      <c r="H447" s="104"/>
    </row>
    <row r="448" spans="2:8">
      <c r="B448" s="104"/>
      <c r="C448" s="104"/>
      <c r="D448" s="104"/>
      <c r="E448" s="104"/>
      <c r="F448" s="104"/>
      <c r="G448" s="104"/>
      <c r="H448" s="104"/>
    </row>
    <row r="449" spans="2:8">
      <c r="B449" s="104"/>
      <c r="C449" s="104"/>
      <c r="D449" s="104"/>
      <c r="E449" s="104"/>
      <c r="F449" s="104"/>
      <c r="G449" s="104"/>
      <c r="H449" s="104"/>
    </row>
    <row r="450" spans="2:8">
      <c r="B450" s="104"/>
      <c r="C450" s="104"/>
      <c r="D450" s="104"/>
      <c r="E450" s="104"/>
      <c r="F450" s="104"/>
      <c r="G450" s="104"/>
      <c r="H450" s="104"/>
    </row>
    <row r="451" spans="2:8">
      <c r="B451" s="104"/>
      <c r="C451" s="104"/>
      <c r="D451" s="104"/>
      <c r="E451" s="104"/>
      <c r="F451" s="104"/>
      <c r="G451" s="104"/>
      <c r="H451" s="104"/>
    </row>
    <row r="452" spans="2:8">
      <c r="B452" s="104"/>
      <c r="C452" s="104"/>
      <c r="D452" s="104"/>
      <c r="E452" s="104"/>
      <c r="F452" s="104"/>
      <c r="G452" s="104"/>
      <c r="H452" s="104"/>
    </row>
    <row r="453" spans="2:8">
      <c r="B453" s="104"/>
      <c r="C453" s="104"/>
      <c r="D453" s="104"/>
      <c r="E453" s="104"/>
      <c r="F453" s="104"/>
      <c r="G453" s="104"/>
      <c r="H453" s="104"/>
    </row>
    <row r="454" spans="2:8">
      <c r="B454" s="104"/>
      <c r="C454" s="104"/>
      <c r="D454" s="104"/>
      <c r="E454" s="104"/>
      <c r="F454" s="104"/>
      <c r="G454" s="104"/>
      <c r="H454" s="104"/>
    </row>
    <row r="455" spans="2:8">
      <c r="B455" s="104"/>
      <c r="C455" s="104"/>
      <c r="D455" s="104"/>
      <c r="E455" s="104"/>
      <c r="F455" s="104"/>
      <c r="G455" s="104"/>
      <c r="H455" s="104"/>
    </row>
    <row r="456" spans="2:8">
      <c r="B456" s="104"/>
      <c r="C456" s="104"/>
      <c r="D456" s="104"/>
      <c r="E456" s="104"/>
      <c r="F456" s="104"/>
      <c r="G456" s="104"/>
      <c r="H456" s="104"/>
    </row>
    <row r="457" spans="2:8">
      <c r="B457" s="104"/>
      <c r="C457" s="104"/>
      <c r="D457" s="104"/>
      <c r="E457" s="104"/>
      <c r="F457" s="104"/>
      <c r="G457" s="104"/>
      <c r="H457" s="104"/>
    </row>
    <row r="458" spans="2:8">
      <c r="B458" s="104"/>
      <c r="C458" s="104"/>
      <c r="D458" s="104"/>
      <c r="E458" s="104"/>
      <c r="F458" s="104"/>
      <c r="G458" s="104"/>
      <c r="H458" s="104"/>
    </row>
    <row r="459" spans="2:8">
      <c r="B459" s="104"/>
      <c r="C459" s="104"/>
      <c r="D459" s="104"/>
      <c r="E459" s="104"/>
      <c r="F459" s="104"/>
      <c r="G459" s="104"/>
      <c r="H459" s="104"/>
    </row>
    <row r="460" spans="2:8">
      <c r="B460" s="104"/>
      <c r="C460" s="104"/>
      <c r="D460" s="104"/>
      <c r="E460" s="104"/>
      <c r="F460" s="104"/>
      <c r="G460" s="104"/>
      <c r="H460" s="104"/>
    </row>
    <row r="461" spans="2:8">
      <c r="B461" s="104"/>
      <c r="C461" s="104"/>
      <c r="D461" s="104"/>
      <c r="E461" s="104"/>
      <c r="F461" s="104"/>
      <c r="G461" s="104"/>
      <c r="H461" s="104"/>
    </row>
    <row r="462" spans="2:8">
      <c r="B462" s="104"/>
      <c r="C462" s="104"/>
      <c r="D462" s="104"/>
      <c r="E462" s="104"/>
      <c r="F462" s="104"/>
      <c r="G462" s="104"/>
      <c r="H462" s="104"/>
    </row>
    <row r="463" spans="2:8">
      <c r="B463" s="104"/>
      <c r="C463" s="104"/>
      <c r="D463" s="104"/>
      <c r="E463" s="104"/>
      <c r="F463" s="104"/>
      <c r="G463" s="104"/>
      <c r="H463" s="104"/>
    </row>
    <row r="464" spans="2:8">
      <c r="B464" s="104"/>
      <c r="C464" s="104"/>
      <c r="D464" s="104"/>
      <c r="E464" s="104"/>
      <c r="F464" s="104"/>
      <c r="G464" s="104"/>
      <c r="H464" s="104"/>
    </row>
    <row r="465" spans="2:8">
      <c r="B465" s="104"/>
      <c r="C465" s="104"/>
      <c r="D465" s="104"/>
      <c r="E465" s="104"/>
      <c r="F465" s="104"/>
      <c r="G465" s="104"/>
      <c r="H465" s="104"/>
    </row>
    <row r="466" spans="2:8">
      <c r="B466" s="104"/>
      <c r="C466" s="104"/>
      <c r="D466" s="104"/>
      <c r="E466" s="104"/>
      <c r="F466" s="104"/>
      <c r="G466" s="104"/>
      <c r="H466" s="104"/>
    </row>
    <row r="467" spans="2:8">
      <c r="B467" s="104"/>
      <c r="C467" s="104"/>
      <c r="D467" s="104"/>
      <c r="E467" s="104"/>
      <c r="F467" s="104"/>
      <c r="G467" s="104"/>
      <c r="H467" s="104"/>
    </row>
    <row r="468" spans="2:8">
      <c r="B468" s="104"/>
      <c r="C468" s="104"/>
      <c r="D468" s="104"/>
      <c r="E468" s="104"/>
      <c r="F468" s="104"/>
      <c r="G468" s="104"/>
      <c r="H468" s="104"/>
    </row>
    <row r="469" spans="2:8">
      <c r="B469" s="104"/>
      <c r="C469" s="104"/>
      <c r="D469" s="104"/>
      <c r="E469" s="104"/>
      <c r="F469" s="104"/>
      <c r="G469" s="104"/>
      <c r="H469" s="104"/>
    </row>
    <row r="470" spans="2:8">
      <c r="B470" s="104"/>
      <c r="C470" s="104"/>
      <c r="D470" s="104"/>
      <c r="E470" s="104"/>
      <c r="F470" s="104"/>
      <c r="G470" s="104"/>
      <c r="H470" s="104"/>
    </row>
    <row r="471" spans="2:8">
      <c r="B471" s="104"/>
      <c r="C471" s="104"/>
      <c r="D471" s="104"/>
      <c r="E471" s="104"/>
      <c r="F471" s="104"/>
      <c r="G471" s="104"/>
      <c r="H471" s="104"/>
    </row>
    <row r="472" spans="2:8">
      <c r="B472" s="104"/>
      <c r="C472" s="104"/>
      <c r="D472" s="104"/>
      <c r="E472" s="104"/>
      <c r="F472" s="104"/>
      <c r="G472" s="104"/>
      <c r="H472" s="104"/>
    </row>
    <row r="473" spans="2:8">
      <c r="B473" s="104"/>
      <c r="C473" s="104"/>
      <c r="D473" s="104"/>
      <c r="E473" s="104"/>
      <c r="F473" s="104"/>
      <c r="G473" s="104"/>
      <c r="H473" s="104"/>
    </row>
    <row r="474" spans="2:8">
      <c r="B474" s="104"/>
      <c r="C474" s="104"/>
      <c r="D474" s="104"/>
      <c r="E474" s="104"/>
      <c r="F474" s="104"/>
      <c r="G474" s="104"/>
      <c r="H474" s="104"/>
    </row>
    <row r="475" spans="2:8">
      <c r="B475" s="104"/>
      <c r="C475" s="104"/>
      <c r="D475" s="104"/>
      <c r="E475" s="104"/>
      <c r="F475" s="104"/>
      <c r="G475" s="104"/>
      <c r="H475" s="104"/>
    </row>
    <row r="476" spans="2:8">
      <c r="B476" s="104"/>
      <c r="C476" s="104"/>
      <c r="D476" s="104"/>
      <c r="E476" s="104"/>
      <c r="F476" s="104"/>
      <c r="G476" s="104"/>
      <c r="H476" s="104"/>
    </row>
    <row r="477" spans="2:8">
      <c r="B477" s="104"/>
      <c r="C477" s="104"/>
      <c r="D477" s="104"/>
      <c r="E477" s="104"/>
      <c r="F477" s="104"/>
      <c r="G477" s="104"/>
      <c r="H477" s="104"/>
    </row>
    <row r="478" spans="2:8">
      <c r="B478" s="104"/>
      <c r="C478" s="104"/>
      <c r="D478" s="104"/>
      <c r="E478" s="104"/>
      <c r="F478" s="104"/>
      <c r="G478" s="104"/>
      <c r="H478" s="104"/>
    </row>
    <row r="479" spans="2:8">
      <c r="B479" s="104"/>
      <c r="C479" s="104"/>
      <c r="D479" s="104"/>
      <c r="E479" s="104"/>
      <c r="F479" s="104"/>
      <c r="G479" s="104"/>
      <c r="H479" s="104"/>
    </row>
    <row r="480" spans="2:8">
      <c r="B480" s="104"/>
      <c r="C480" s="104"/>
      <c r="D480" s="104"/>
      <c r="E480" s="104"/>
      <c r="F480" s="104"/>
      <c r="G480" s="104"/>
      <c r="H480" s="104"/>
    </row>
    <row r="481" spans="2:8">
      <c r="B481" s="104"/>
      <c r="C481" s="104"/>
      <c r="D481" s="104"/>
      <c r="E481" s="104"/>
      <c r="F481" s="104"/>
      <c r="G481" s="104"/>
      <c r="H481" s="104"/>
    </row>
    <row r="482" spans="2:8">
      <c r="B482" s="104"/>
      <c r="C482" s="104"/>
      <c r="D482" s="104"/>
      <c r="E482" s="104"/>
      <c r="F482" s="104"/>
      <c r="G482" s="104"/>
      <c r="H482" s="104"/>
    </row>
    <row r="483" spans="2:8">
      <c r="B483" s="104"/>
      <c r="C483" s="104"/>
      <c r="D483" s="104"/>
      <c r="E483" s="104"/>
      <c r="F483" s="104"/>
      <c r="G483" s="104"/>
      <c r="H483" s="104"/>
    </row>
    <row r="484" spans="2:8">
      <c r="B484" s="104"/>
      <c r="C484" s="104"/>
      <c r="D484" s="104"/>
      <c r="E484" s="104"/>
      <c r="F484" s="104"/>
      <c r="G484" s="104"/>
      <c r="H484" s="104"/>
    </row>
    <row r="485" spans="2:8">
      <c r="B485" s="104"/>
      <c r="C485" s="104"/>
      <c r="D485" s="104"/>
      <c r="E485" s="104"/>
      <c r="F485" s="104"/>
      <c r="G485" s="104"/>
      <c r="H485" s="104"/>
    </row>
    <row r="486" spans="2:8">
      <c r="B486" s="104"/>
      <c r="C486" s="104"/>
      <c r="D486" s="104"/>
      <c r="E486" s="104"/>
      <c r="F486" s="104"/>
      <c r="G486" s="104"/>
      <c r="H486" s="104"/>
    </row>
    <row r="487" spans="2:8">
      <c r="B487" s="104"/>
      <c r="C487" s="104"/>
      <c r="D487" s="104"/>
      <c r="E487" s="104"/>
      <c r="F487" s="104"/>
      <c r="G487" s="104"/>
      <c r="H487" s="104"/>
    </row>
    <row r="488" spans="2:8">
      <c r="B488" s="104"/>
      <c r="C488" s="104"/>
      <c r="D488" s="104"/>
      <c r="E488" s="104"/>
      <c r="F488" s="104"/>
      <c r="G488" s="104"/>
      <c r="H488" s="104"/>
    </row>
    <row r="489" spans="2:8">
      <c r="B489" s="104"/>
      <c r="C489" s="104"/>
      <c r="D489" s="104"/>
      <c r="E489" s="104"/>
      <c r="F489" s="104"/>
      <c r="G489" s="104"/>
      <c r="H489" s="104"/>
    </row>
    <row r="490" spans="2:8">
      <c r="B490" s="104"/>
      <c r="C490" s="104"/>
      <c r="D490" s="104"/>
      <c r="E490" s="104"/>
      <c r="F490" s="104"/>
      <c r="G490" s="104"/>
      <c r="H490" s="104"/>
    </row>
    <row r="491" spans="2:8">
      <c r="B491" s="104"/>
      <c r="C491" s="104"/>
      <c r="D491" s="104"/>
      <c r="E491" s="104"/>
      <c r="F491" s="104"/>
      <c r="G491" s="104"/>
      <c r="H491" s="104"/>
    </row>
    <row r="492" spans="2:8">
      <c r="B492" s="104"/>
      <c r="C492" s="104"/>
      <c r="D492" s="104"/>
      <c r="E492" s="104"/>
      <c r="F492" s="104"/>
      <c r="G492" s="104"/>
      <c r="H492" s="104"/>
    </row>
    <row r="493" spans="2:8">
      <c r="B493" s="104"/>
      <c r="C493" s="104"/>
      <c r="D493" s="104"/>
      <c r="E493" s="104"/>
      <c r="F493" s="104"/>
      <c r="G493" s="104"/>
      <c r="H493" s="104"/>
    </row>
    <row r="494" spans="2:8">
      <c r="B494" s="104"/>
      <c r="C494" s="104"/>
      <c r="D494" s="104"/>
      <c r="E494" s="104"/>
      <c r="F494" s="104"/>
      <c r="G494" s="104"/>
      <c r="H494" s="104"/>
    </row>
    <row r="495" spans="2:8">
      <c r="B495" s="104"/>
      <c r="C495" s="104"/>
      <c r="D495" s="104"/>
      <c r="E495" s="104"/>
      <c r="F495" s="104"/>
      <c r="G495" s="104"/>
      <c r="H495" s="104"/>
    </row>
    <row r="496" spans="2:8">
      <c r="B496" s="104"/>
      <c r="C496" s="104"/>
      <c r="D496" s="104"/>
      <c r="E496" s="104"/>
      <c r="F496" s="104"/>
      <c r="G496" s="104"/>
      <c r="H496" s="104"/>
    </row>
    <row r="497" spans="2:8">
      <c r="B497" s="104"/>
      <c r="C497" s="104"/>
      <c r="D497" s="104"/>
      <c r="E497" s="104"/>
      <c r="F497" s="104"/>
      <c r="G497" s="104"/>
      <c r="H497" s="104"/>
    </row>
    <row r="498" spans="2:8">
      <c r="B498" s="104"/>
      <c r="C498" s="104"/>
      <c r="D498" s="104"/>
      <c r="E498" s="104"/>
      <c r="F498" s="104"/>
      <c r="G498" s="104"/>
      <c r="H498" s="104"/>
    </row>
    <row r="499" spans="2:8">
      <c r="B499" s="104"/>
      <c r="C499" s="104"/>
      <c r="D499" s="104"/>
      <c r="E499" s="104"/>
      <c r="F499" s="104"/>
      <c r="G499" s="104"/>
      <c r="H499" s="104"/>
    </row>
    <row r="500" spans="2:8">
      <c r="B500" s="104"/>
      <c r="C500" s="104"/>
      <c r="D500" s="104"/>
      <c r="E500" s="104"/>
      <c r="F500" s="104"/>
      <c r="G500" s="104"/>
      <c r="H500" s="104"/>
    </row>
    <row r="501" spans="2:8">
      <c r="B501" s="104"/>
      <c r="C501" s="104"/>
      <c r="D501" s="104"/>
      <c r="E501" s="104"/>
      <c r="F501" s="104"/>
      <c r="G501" s="104"/>
      <c r="H501" s="104"/>
    </row>
    <row r="502" spans="2:8">
      <c r="B502" s="104"/>
      <c r="C502" s="104"/>
      <c r="D502" s="104"/>
      <c r="E502" s="104"/>
      <c r="F502" s="104"/>
      <c r="G502" s="104"/>
      <c r="H502" s="104"/>
    </row>
    <row r="503" spans="2:8">
      <c r="B503" s="104"/>
      <c r="C503" s="104"/>
      <c r="D503" s="104"/>
      <c r="E503" s="104"/>
      <c r="F503" s="104"/>
      <c r="G503" s="104"/>
      <c r="H503" s="104"/>
    </row>
    <row r="504" spans="2:8">
      <c r="B504" s="104"/>
      <c r="C504" s="104"/>
      <c r="D504" s="104"/>
      <c r="E504" s="104"/>
      <c r="F504" s="104"/>
      <c r="G504" s="104"/>
      <c r="H504" s="104"/>
    </row>
    <row r="505" spans="2:8">
      <c r="B505" s="104"/>
      <c r="C505" s="104"/>
      <c r="D505" s="104"/>
      <c r="E505" s="104"/>
      <c r="F505" s="104"/>
      <c r="G505" s="104"/>
      <c r="H505" s="104"/>
    </row>
  </sheetData>
  <mergeCells count="6">
    <mergeCell ref="D1:H3"/>
    <mergeCell ref="A4:C4"/>
    <mergeCell ref="D4:H4"/>
    <mergeCell ref="A5:C5"/>
    <mergeCell ref="D5:G5"/>
    <mergeCell ref="H5:H6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2" orientation="portrait" r:id="rId1"/>
  <headerFooter>
    <oddFooter>&amp;L&amp;"Calibri,Regular"&amp;12&amp;K184782&amp;F&amp;C&amp;"Calibri,Regular"&amp;12&amp;K184782&amp;A&amp;R&amp;"Calibri,Regular"&amp;12&amp;K184782&amp;P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>
    <pageSetUpPr fitToPage="1"/>
  </sheetPr>
  <dimension ref="A1:J504"/>
  <sheetViews>
    <sheetView showGridLines="0" workbookViewId="0">
      <pane ySplit="2745" topLeftCell="A200" activePane="bottomLeft"/>
      <selection activeCell="A173" sqref="A173"/>
      <selection pane="bottomLeft" activeCell="B212" sqref="B212"/>
    </sheetView>
  </sheetViews>
  <sheetFormatPr defaultRowHeight="12.75"/>
  <cols>
    <col min="1" max="1" width="13.42578125" style="67" customWidth="1"/>
    <col min="2" max="2" width="13.5703125" style="67" customWidth="1"/>
    <col min="3" max="3" width="10.140625" style="67" customWidth="1"/>
    <col min="4" max="4" width="9.140625" style="67" customWidth="1"/>
    <col min="5" max="5" width="9.140625" style="67"/>
    <col min="6" max="6" width="13.5703125" style="67" bestFit="1" customWidth="1"/>
    <col min="7" max="7" width="12.85546875" style="67" bestFit="1" customWidth="1"/>
    <col min="8" max="8" width="15.7109375" style="67" customWidth="1"/>
    <col min="9" max="16384" width="9.140625" style="67"/>
  </cols>
  <sheetData>
    <row r="1" spans="1:8" ht="16.5" customHeight="1">
      <c r="B1" s="101"/>
      <c r="C1" s="101"/>
      <c r="D1" s="294" t="s">
        <v>251</v>
      </c>
      <c r="E1" s="294"/>
      <c r="F1" s="294"/>
      <c r="G1" s="294"/>
      <c r="H1" s="294"/>
    </row>
    <row r="2" spans="1:8" ht="17.25" customHeight="1">
      <c r="A2" s="101"/>
      <c r="B2" s="101"/>
      <c r="C2" s="101"/>
      <c r="D2" s="294"/>
      <c r="E2" s="294"/>
      <c r="F2" s="294"/>
      <c r="G2" s="294"/>
      <c r="H2" s="294"/>
    </row>
    <row r="3" spans="1:8" ht="21" customHeight="1" thickBot="1">
      <c r="A3" s="101"/>
      <c r="B3" s="101"/>
      <c r="C3" s="101"/>
      <c r="D3" s="306"/>
      <c r="E3" s="306"/>
      <c r="F3" s="306"/>
      <c r="G3" s="306"/>
      <c r="H3" s="306"/>
    </row>
    <row r="4" spans="1:8" s="62" customFormat="1" ht="19.5" thickBot="1">
      <c r="A4" s="307" t="s">
        <v>74</v>
      </c>
      <c r="B4" s="308"/>
      <c r="C4" s="309"/>
      <c r="D4" s="310" t="s">
        <v>61</v>
      </c>
      <c r="E4" s="311"/>
      <c r="F4" s="311"/>
      <c r="G4" s="311" t="s">
        <v>6</v>
      </c>
      <c r="H4" s="312"/>
    </row>
    <row r="5" spans="1:8" s="62" customFormat="1" ht="18" customHeight="1" thickBot="1">
      <c r="A5" s="313" t="s">
        <v>56</v>
      </c>
      <c r="B5" s="314"/>
      <c r="C5" s="315"/>
      <c r="D5" s="298" t="s">
        <v>57</v>
      </c>
      <c r="E5" s="299"/>
      <c r="F5" s="299"/>
      <c r="G5" s="300"/>
      <c r="H5" s="316" t="s">
        <v>58</v>
      </c>
    </row>
    <row r="6" spans="1:8" s="62" customFormat="1" ht="15.75" customHeight="1" thickBot="1">
      <c r="A6" s="126" t="s">
        <v>109</v>
      </c>
      <c r="B6" s="127" t="s">
        <v>111</v>
      </c>
      <c r="C6" s="127" t="s">
        <v>4</v>
      </c>
      <c r="D6" s="127" t="s">
        <v>14</v>
      </c>
      <c r="E6" s="127" t="s">
        <v>15</v>
      </c>
      <c r="F6" s="127" t="s">
        <v>16</v>
      </c>
      <c r="G6" s="127" t="s">
        <v>17</v>
      </c>
      <c r="H6" s="317"/>
    </row>
    <row r="7" spans="1:8" s="102" customFormat="1" ht="16.5" customHeight="1" thickBot="1">
      <c r="A7" s="140" t="s">
        <v>67</v>
      </c>
      <c r="B7" s="141"/>
      <c r="C7" s="141"/>
      <c r="D7" s="141"/>
      <c r="E7" s="141"/>
      <c r="F7" s="141"/>
      <c r="G7" s="141"/>
      <c r="H7" s="142"/>
    </row>
    <row r="8" spans="1:8" ht="15" hidden="1">
      <c r="A8" s="228" t="s">
        <v>113</v>
      </c>
      <c r="B8" s="229">
        <v>160</v>
      </c>
      <c r="C8" s="204">
        <f>100*B8/B$8</f>
        <v>100</v>
      </c>
      <c r="D8" s="204"/>
      <c r="E8" s="204"/>
      <c r="F8" s="204"/>
      <c r="G8" s="205"/>
      <c r="H8" s="206">
        <f>+B$211/B8</f>
        <v>2.9146682716531842</v>
      </c>
    </row>
    <row r="9" spans="1:8" ht="15" hidden="1">
      <c r="A9" s="230" t="s">
        <v>114</v>
      </c>
      <c r="B9" s="231">
        <v>157</v>
      </c>
      <c r="C9" s="207">
        <f t="shared" ref="C9:C106" si="0">100*B9/B$8</f>
        <v>98.125</v>
      </c>
      <c r="D9" s="207">
        <f t="shared" ref="D9:D26" si="1">100*(B9/B8-1)</f>
        <v>-1.8750000000000044</v>
      </c>
      <c r="E9" s="207"/>
      <c r="F9" s="207"/>
      <c r="G9" s="208"/>
      <c r="H9" s="209">
        <f>+B$211/B9</f>
        <v>2.9703625698376399</v>
      </c>
    </row>
    <row r="10" spans="1:8" ht="15" hidden="1">
      <c r="A10" s="230" t="s">
        <v>115</v>
      </c>
      <c r="B10" s="231">
        <v>166</v>
      </c>
      <c r="C10" s="207">
        <f t="shared" si="0"/>
        <v>103.75</v>
      </c>
      <c r="D10" s="207">
        <f t="shared" si="1"/>
        <v>5.7324840764331197</v>
      </c>
      <c r="E10" s="207"/>
      <c r="F10" s="207"/>
      <c r="G10" s="208"/>
      <c r="H10" s="209">
        <f>+B$211/B10</f>
        <v>2.8093188160512619</v>
      </c>
    </row>
    <row r="11" spans="1:8" ht="15" hidden="1">
      <c r="A11" s="230" t="s">
        <v>116</v>
      </c>
      <c r="B11" s="231">
        <v>170</v>
      </c>
      <c r="C11" s="207">
        <f t="shared" si="0"/>
        <v>106.25</v>
      </c>
      <c r="D11" s="207">
        <f t="shared" si="1"/>
        <v>2.4096385542168752</v>
      </c>
      <c r="E11" s="207">
        <f t="shared" ref="E11:E16" si="2">100*(B11/B$10-1)</f>
        <v>2.4096385542168752</v>
      </c>
      <c r="F11" s="210"/>
      <c r="G11" s="211"/>
      <c r="H11" s="209">
        <f>+B$211/B11</f>
        <v>2.7432171968500558</v>
      </c>
    </row>
    <row r="12" spans="1:8" ht="15" hidden="1">
      <c r="A12" s="230" t="s">
        <v>117</v>
      </c>
      <c r="B12" s="231">
        <v>171.6</v>
      </c>
      <c r="C12" s="207">
        <f t="shared" si="0"/>
        <v>107.25</v>
      </c>
      <c r="D12" s="207">
        <f t="shared" si="1"/>
        <v>0.94117647058822307</v>
      </c>
      <c r="E12" s="207">
        <f t="shared" si="2"/>
        <v>3.3734939759036076</v>
      </c>
      <c r="F12" s="210"/>
      <c r="G12" s="211"/>
      <c r="H12" s="209">
        <f>+B$211/B12</f>
        <v>2.7176394141288434</v>
      </c>
    </row>
    <row r="13" spans="1:8" ht="15" hidden="1">
      <c r="A13" s="230" t="s">
        <v>118</v>
      </c>
      <c r="B13" s="231">
        <v>180</v>
      </c>
      <c r="C13" s="207">
        <f t="shared" si="0"/>
        <v>112.5</v>
      </c>
      <c r="D13" s="207">
        <f t="shared" si="1"/>
        <v>4.8951048951048959</v>
      </c>
      <c r="E13" s="207">
        <f t="shared" si="2"/>
        <v>8.4337349397590309</v>
      </c>
      <c r="F13" s="210"/>
      <c r="G13" s="211"/>
      <c r="H13" s="209">
        <f>+B$211/B13</f>
        <v>2.5908162414694971</v>
      </c>
    </row>
    <row r="14" spans="1:8" ht="15" hidden="1">
      <c r="A14" s="230" t="s">
        <v>119</v>
      </c>
      <c r="B14" s="231">
        <v>180</v>
      </c>
      <c r="C14" s="207">
        <f t="shared" si="0"/>
        <v>112.5</v>
      </c>
      <c r="D14" s="207">
        <f t="shared" si="1"/>
        <v>0</v>
      </c>
      <c r="E14" s="207">
        <f t="shared" si="2"/>
        <v>8.4337349397590309</v>
      </c>
      <c r="F14" s="210"/>
      <c r="G14" s="211"/>
      <c r="H14" s="209">
        <f>+B$211/B14</f>
        <v>2.5908162414694971</v>
      </c>
    </row>
    <row r="15" spans="1:8" ht="15" hidden="1">
      <c r="A15" s="230" t="s">
        <v>120</v>
      </c>
      <c r="B15" s="231">
        <v>182.5</v>
      </c>
      <c r="C15" s="207">
        <f t="shared" si="0"/>
        <v>114.0625</v>
      </c>
      <c r="D15" s="207">
        <f t="shared" si="1"/>
        <v>1.388888888888884</v>
      </c>
      <c r="E15" s="207">
        <f t="shared" si="2"/>
        <v>9.9397590361445687</v>
      </c>
      <c r="F15" s="210"/>
      <c r="G15" s="211"/>
      <c r="H15" s="209">
        <f>+B$211/B15</f>
        <v>2.5553256080247095</v>
      </c>
    </row>
    <row r="16" spans="1:8" ht="15" hidden="1">
      <c r="A16" s="230" t="s">
        <v>121</v>
      </c>
      <c r="B16" s="231">
        <v>180</v>
      </c>
      <c r="C16" s="207">
        <f t="shared" si="0"/>
        <v>112.5</v>
      </c>
      <c r="D16" s="207">
        <f t="shared" si="1"/>
        <v>-1.3698630136986356</v>
      </c>
      <c r="E16" s="207">
        <f t="shared" si="2"/>
        <v>8.4337349397590309</v>
      </c>
      <c r="F16" s="210"/>
      <c r="G16" s="211"/>
      <c r="H16" s="209">
        <f>+B$211/B16</f>
        <v>2.5908162414694971</v>
      </c>
    </row>
    <row r="17" spans="1:8" ht="15" hidden="1">
      <c r="A17" s="230" t="s">
        <v>122</v>
      </c>
      <c r="B17" s="231">
        <v>182.5</v>
      </c>
      <c r="C17" s="207">
        <f t="shared" si="0"/>
        <v>114.0625</v>
      </c>
      <c r="D17" s="207">
        <f t="shared" si="1"/>
        <v>1.388888888888884</v>
      </c>
      <c r="E17" s="207">
        <f t="shared" ref="E17:E22" si="3">100*(B17/B$10-1)</f>
        <v>9.9397590361445687</v>
      </c>
      <c r="F17" s="210"/>
      <c r="G17" s="211"/>
      <c r="H17" s="209">
        <f>+B$211/B17</f>
        <v>2.5553256080247095</v>
      </c>
    </row>
    <row r="18" spans="1:8" ht="15" hidden="1">
      <c r="A18" s="230" t="s">
        <v>123</v>
      </c>
      <c r="B18" s="231">
        <v>180</v>
      </c>
      <c r="C18" s="207">
        <f t="shared" si="0"/>
        <v>112.5</v>
      </c>
      <c r="D18" s="207">
        <f t="shared" si="1"/>
        <v>-1.3698630136986356</v>
      </c>
      <c r="E18" s="207">
        <f t="shared" si="3"/>
        <v>8.4337349397590309</v>
      </c>
      <c r="F18" s="210"/>
      <c r="G18" s="211"/>
      <c r="H18" s="209">
        <f>+B$211/B18</f>
        <v>2.5908162414694971</v>
      </c>
    </row>
    <row r="19" spans="1:8" ht="15" hidden="1">
      <c r="A19" s="230" t="s">
        <v>124</v>
      </c>
      <c r="B19" s="231">
        <v>166</v>
      </c>
      <c r="C19" s="207">
        <f t="shared" si="0"/>
        <v>103.75</v>
      </c>
      <c r="D19" s="207">
        <f t="shared" si="1"/>
        <v>-7.7777777777777724</v>
      </c>
      <c r="E19" s="207">
        <f t="shared" si="3"/>
        <v>0</v>
      </c>
      <c r="F19" s="210"/>
      <c r="G19" s="211"/>
      <c r="H19" s="209">
        <f>+B$211/B19</f>
        <v>2.8093188160512619</v>
      </c>
    </row>
    <row r="20" spans="1:8" ht="15" hidden="1">
      <c r="A20" s="230" t="s">
        <v>125</v>
      </c>
      <c r="B20" s="231">
        <v>166</v>
      </c>
      <c r="C20" s="207">
        <f t="shared" si="0"/>
        <v>103.75</v>
      </c>
      <c r="D20" s="207">
        <f t="shared" si="1"/>
        <v>0</v>
      </c>
      <c r="E20" s="207">
        <f t="shared" si="3"/>
        <v>0</v>
      </c>
      <c r="F20" s="210">
        <f>(100*(B20/B8-1))</f>
        <v>3.7500000000000089</v>
      </c>
      <c r="G20" s="211"/>
      <c r="H20" s="209">
        <f>+B$211/B20</f>
        <v>2.8093188160512619</v>
      </c>
    </row>
    <row r="21" spans="1:8" ht="15" hidden="1">
      <c r="A21" s="230" t="s">
        <v>126</v>
      </c>
      <c r="B21" s="231">
        <v>166</v>
      </c>
      <c r="C21" s="207">
        <f t="shared" si="0"/>
        <v>103.75</v>
      </c>
      <c r="D21" s="207">
        <f t="shared" si="1"/>
        <v>0</v>
      </c>
      <c r="E21" s="207">
        <f t="shared" si="3"/>
        <v>0</v>
      </c>
      <c r="F21" s="210">
        <f t="shared" ref="F21:F32" si="4">(100*(B21/B9-1))</f>
        <v>5.7324840764331197</v>
      </c>
      <c r="G21" s="211"/>
      <c r="H21" s="209">
        <f>+B$211/B21</f>
        <v>2.8093188160512619</v>
      </c>
    </row>
    <row r="22" spans="1:8" ht="15" hidden="1">
      <c r="A22" s="230" t="s">
        <v>127</v>
      </c>
      <c r="B22" s="231">
        <v>166</v>
      </c>
      <c r="C22" s="207">
        <f t="shared" si="0"/>
        <v>103.75</v>
      </c>
      <c r="D22" s="207">
        <f t="shared" si="1"/>
        <v>0</v>
      </c>
      <c r="E22" s="207">
        <f t="shared" si="3"/>
        <v>0</v>
      </c>
      <c r="F22" s="210">
        <f t="shared" si="4"/>
        <v>0</v>
      </c>
      <c r="G22" s="211"/>
      <c r="H22" s="209">
        <f>+B$211/B22</f>
        <v>2.8093188160512619</v>
      </c>
    </row>
    <row r="23" spans="1:8" ht="15" hidden="1">
      <c r="A23" s="230" t="s">
        <v>128</v>
      </c>
      <c r="B23" s="231">
        <v>174</v>
      </c>
      <c r="C23" s="207">
        <f t="shared" si="0"/>
        <v>108.75</v>
      </c>
      <c r="D23" s="207">
        <f t="shared" si="1"/>
        <v>4.8192771084337283</v>
      </c>
      <c r="E23" s="207">
        <f t="shared" ref="E23:E29" si="5">100*(B23/B$22-1)</f>
        <v>4.8192771084337283</v>
      </c>
      <c r="F23" s="210">
        <f t="shared" si="4"/>
        <v>2.3529411764705799</v>
      </c>
      <c r="G23" s="211"/>
      <c r="H23" s="209">
        <f>+B$211/B23</f>
        <v>2.680154732554652</v>
      </c>
    </row>
    <row r="24" spans="1:8" ht="15" hidden="1">
      <c r="A24" s="230" t="s">
        <v>129</v>
      </c>
      <c r="B24" s="231">
        <v>175</v>
      </c>
      <c r="C24" s="207">
        <f t="shared" si="0"/>
        <v>109.375</v>
      </c>
      <c r="D24" s="207">
        <f t="shared" si="1"/>
        <v>0.57471264367816577</v>
      </c>
      <c r="E24" s="207">
        <f t="shared" si="5"/>
        <v>5.4216867469879526</v>
      </c>
      <c r="F24" s="210">
        <f t="shared" si="4"/>
        <v>1.9813519813519864</v>
      </c>
      <c r="G24" s="211"/>
      <c r="H24" s="209">
        <f>+B$211/B24</f>
        <v>2.6648395626543397</v>
      </c>
    </row>
    <row r="25" spans="1:8" ht="15" hidden="1">
      <c r="A25" s="230" t="s">
        <v>130</v>
      </c>
      <c r="B25" s="231">
        <v>174</v>
      </c>
      <c r="C25" s="207">
        <f t="shared" si="0"/>
        <v>108.75</v>
      </c>
      <c r="D25" s="207">
        <f t="shared" si="1"/>
        <v>-0.57142857142856718</v>
      </c>
      <c r="E25" s="207">
        <f t="shared" si="5"/>
        <v>4.8192771084337283</v>
      </c>
      <c r="F25" s="210">
        <f t="shared" si="4"/>
        <v>-3.3333333333333326</v>
      </c>
      <c r="G25" s="211"/>
      <c r="H25" s="209">
        <f>+B$211/B25</f>
        <v>2.680154732554652</v>
      </c>
    </row>
    <row r="26" spans="1:8" ht="15" hidden="1">
      <c r="A26" s="230" t="s">
        <v>131</v>
      </c>
      <c r="B26" s="231">
        <v>174</v>
      </c>
      <c r="C26" s="207">
        <f t="shared" si="0"/>
        <v>108.75</v>
      </c>
      <c r="D26" s="207">
        <f t="shared" si="1"/>
        <v>0</v>
      </c>
      <c r="E26" s="207">
        <f t="shared" si="5"/>
        <v>4.8192771084337283</v>
      </c>
      <c r="F26" s="210">
        <f t="shared" si="4"/>
        <v>-3.3333333333333326</v>
      </c>
      <c r="G26" s="211"/>
      <c r="H26" s="209">
        <f>+B$211/B26</f>
        <v>2.680154732554652</v>
      </c>
    </row>
    <row r="27" spans="1:8" ht="15" hidden="1">
      <c r="A27" s="230" t="s">
        <v>132</v>
      </c>
      <c r="B27" s="231">
        <v>146.66999999999999</v>
      </c>
      <c r="C27" s="207">
        <f t="shared" si="0"/>
        <v>91.668749999999989</v>
      </c>
      <c r="D27" s="207">
        <f t="shared" ref="D27:D32" si="6">100*(B27/B26-1)</f>
        <v>-15.706896551724148</v>
      </c>
      <c r="E27" s="207">
        <f t="shared" si="5"/>
        <v>-11.644578313253017</v>
      </c>
      <c r="F27" s="210">
        <f t="shared" si="4"/>
        <v>-19.632876712328773</v>
      </c>
      <c r="G27" s="211"/>
      <c r="H27" s="209">
        <f>+B$211/B27</f>
        <v>3.1795658516704814</v>
      </c>
    </row>
    <row r="28" spans="1:8" ht="15" hidden="1">
      <c r="A28" s="230" t="s">
        <v>133</v>
      </c>
      <c r="B28" s="231">
        <v>188.75</v>
      </c>
      <c r="C28" s="207">
        <f t="shared" si="0"/>
        <v>117.96875</v>
      </c>
      <c r="D28" s="207">
        <f t="shared" si="6"/>
        <v>28.690257039612742</v>
      </c>
      <c r="E28" s="207">
        <f t="shared" si="5"/>
        <v>13.704819277108427</v>
      </c>
      <c r="F28" s="210">
        <f t="shared" si="4"/>
        <v>4.861111111111116</v>
      </c>
      <c r="G28" s="211"/>
      <c r="H28" s="209">
        <f>+B$211/B28</f>
        <v>2.4707121772954146</v>
      </c>
    </row>
    <row r="29" spans="1:8" ht="15" hidden="1">
      <c r="A29" s="230" t="s">
        <v>134</v>
      </c>
      <c r="B29" s="231">
        <v>166.25</v>
      </c>
      <c r="C29" s="207">
        <f t="shared" si="0"/>
        <v>103.90625</v>
      </c>
      <c r="D29" s="207">
        <f t="shared" si="6"/>
        <v>-11.920529801324509</v>
      </c>
      <c r="E29" s="207">
        <f t="shared" si="5"/>
        <v>0.15060240963855609</v>
      </c>
      <c r="F29" s="210">
        <f t="shared" si="4"/>
        <v>-8.9041095890410986</v>
      </c>
      <c r="G29" s="211"/>
      <c r="H29" s="209">
        <f>+B$211/B29</f>
        <v>2.8050942764782523</v>
      </c>
    </row>
    <row r="30" spans="1:8" ht="15" hidden="1">
      <c r="A30" s="230" t="s">
        <v>135</v>
      </c>
      <c r="B30" s="231">
        <v>181.25</v>
      </c>
      <c r="C30" s="207">
        <f t="shared" si="0"/>
        <v>113.28125</v>
      </c>
      <c r="D30" s="207">
        <f t="shared" si="6"/>
        <v>9.0225563909774422</v>
      </c>
      <c r="E30" s="207">
        <f>100*(B30/B$22-1)</f>
        <v>9.1867469879518104</v>
      </c>
      <c r="F30" s="210">
        <f t="shared" si="4"/>
        <v>0.69444444444444198</v>
      </c>
      <c r="G30" s="211"/>
      <c r="H30" s="209">
        <f>+B$211/B30</f>
        <v>2.5729485432524659</v>
      </c>
    </row>
    <row r="31" spans="1:8" ht="15" hidden="1">
      <c r="A31" s="230" t="s">
        <v>136</v>
      </c>
      <c r="B31" s="231">
        <v>167.5</v>
      </c>
      <c r="C31" s="207">
        <f t="shared" si="0"/>
        <v>104.6875</v>
      </c>
      <c r="D31" s="207">
        <f t="shared" si="6"/>
        <v>-7.5862068965517278</v>
      </c>
      <c r="E31" s="207">
        <f>100*(B31/B$22-1)</f>
        <v>0.90361445783131433</v>
      </c>
      <c r="F31" s="210">
        <f t="shared" si="4"/>
        <v>0.90361445783131433</v>
      </c>
      <c r="G31" s="211"/>
      <c r="H31" s="209">
        <f>+B$211/B31</f>
        <v>2.7841607371015491</v>
      </c>
    </row>
    <row r="32" spans="1:8" ht="15" hidden="1">
      <c r="A32" s="230" t="s">
        <v>137</v>
      </c>
      <c r="B32" s="231">
        <v>180</v>
      </c>
      <c r="C32" s="207">
        <f t="shared" si="0"/>
        <v>112.5</v>
      </c>
      <c r="D32" s="207">
        <f t="shared" si="6"/>
        <v>7.4626865671641784</v>
      </c>
      <c r="E32" s="207">
        <f>100*(B32/B$22-1)</f>
        <v>8.4337349397590309</v>
      </c>
      <c r="F32" s="210">
        <f t="shared" si="4"/>
        <v>8.4337349397590309</v>
      </c>
      <c r="G32" s="211">
        <f t="shared" ref="G32:G37" si="7">100*(B32/B8-1)</f>
        <v>12.5</v>
      </c>
      <c r="H32" s="209">
        <f>+B$211/B32</f>
        <v>2.5908162414694971</v>
      </c>
    </row>
    <row r="33" spans="1:8" ht="15" hidden="1">
      <c r="A33" s="230" t="s">
        <v>138</v>
      </c>
      <c r="B33" s="231">
        <v>175</v>
      </c>
      <c r="C33" s="207">
        <f t="shared" si="0"/>
        <v>109.375</v>
      </c>
      <c r="D33" s="207">
        <f t="shared" ref="D33:D38" si="8">100*(B33/B32-1)</f>
        <v>-2.777777777777779</v>
      </c>
      <c r="E33" s="207">
        <f>100*(B33/B$22-1)</f>
        <v>5.4216867469879526</v>
      </c>
      <c r="F33" s="210">
        <f t="shared" ref="F33:F38" si="9">(100*(B33/B21-1))</f>
        <v>5.4216867469879526</v>
      </c>
      <c r="G33" s="211">
        <f t="shared" si="7"/>
        <v>11.464968152866239</v>
      </c>
      <c r="H33" s="209">
        <f>+B$211/B33</f>
        <v>2.6648395626543397</v>
      </c>
    </row>
    <row r="34" spans="1:8" ht="15" hidden="1">
      <c r="A34" s="230" t="s">
        <v>139</v>
      </c>
      <c r="B34" s="231">
        <v>181.25</v>
      </c>
      <c r="C34" s="207">
        <f t="shared" si="0"/>
        <v>113.28125</v>
      </c>
      <c r="D34" s="207">
        <f t="shared" si="8"/>
        <v>3.5714285714285809</v>
      </c>
      <c r="E34" s="207">
        <f>100*(B34/B$22-1)</f>
        <v>9.1867469879518104</v>
      </c>
      <c r="F34" s="210">
        <f t="shared" si="9"/>
        <v>9.1867469879518104</v>
      </c>
      <c r="G34" s="211">
        <f t="shared" si="7"/>
        <v>9.1867469879518104</v>
      </c>
      <c r="H34" s="209">
        <f>+B$211/B34</f>
        <v>2.5729485432524659</v>
      </c>
    </row>
    <row r="35" spans="1:8" ht="15" hidden="1">
      <c r="A35" s="230" t="s">
        <v>140</v>
      </c>
      <c r="B35" s="231">
        <v>183.75</v>
      </c>
      <c r="C35" s="207">
        <f t="shared" si="0"/>
        <v>114.84375</v>
      </c>
      <c r="D35" s="207">
        <f t="shared" si="8"/>
        <v>1.379310344827589</v>
      </c>
      <c r="E35" s="207">
        <f t="shared" ref="E35:E40" si="10">100*(B35/B$34-1)</f>
        <v>1.379310344827589</v>
      </c>
      <c r="F35" s="210">
        <f t="shared" si="9"/>
        <v>5.6034482758620774</v>
      </c>
      <c r="G35" s="211">
        <f t="shared" si="7"/>
        <v>8.0882352941176414</v>
      </c>
      <c r="H35" s="209">
        <f>+B$211/B35</f>
        <v>2.5379424406231808</v>
      </c>
    </row>
    <row r="36" spans="1:8" ht="15" hidden="1">
      <c r="A36" s="230" t="s">
        <v>141</v>
      </c>
      <c r="B36" s="231">
        <v>183.75</v>
      </c>
      <c r="C36" s="207">
        <f t="shared" si="0"/>
        <v>114.84375</v>
      </c>
      <c r="D36" s="207">
        <f t="shared" si="8"/>
        <v>0</v>
      </c>
      <c r="E36" s="207">
        <f t="shared" si="10"/>
        <v>1.379310344827589</v>
      </c>
      <c r="F36" s="210">
        <f t="shared" si="9"/>
        <v>5.0000000000000044</v>
      </c>
      <c r="G36" s="211">
        <f t="shared" si="7"/>
        <v>7.0804195804195835</v>
      </c>
      <c r="H36" s="209">
        <f>+B$211/B36</f>
        <v>2.5379424406231808</v>
      </c>
    </row>
    <row r="37" spans="1:8" ht="15" hidden="1">
      <c r="A37" s="230" t="s">
        <v>142</v>
      </c>
      <c r="B37" s="231">
        <v>197.5</v>
      </c>
      <c r="C37" s="207">
        <f t="shared" si="0"/>
        <v>123.4375</v>
      </c>
      <c r="D37" s="207">
        <f t="shared" si="8"/>
        <v>7.4829931972789199</v>
      </c>
      <c r="E37" s="207">
        <f t="shared" si="10"/>
        <v>8.9655172413793061</v>
      </c>
      <c r="F37" s="210">
        <f t="shared" si="9"/>
        <v>13.505747126436773</v>
      </c>
      <c r="G37" s="211">
        <f t="shared" si="7"/>
        <v>9.7222222222222321</v>
      </c>
      <c r="H37" s="209">
        <f>+B$211/B37</f>
        <v>2.3612502453899213</v>
      </c>
    </row>
    <row r="38" spans="1:8" ht="15" hidden="1">
      <c r="A38" s="230" t="s">
        <v>143</v>
      </c>
      <c r="B38" s="231">
        <v>210</v>
      </c>
      <c r="C38" s="207">
        <f t="shared" si="0"/>
        <v>131.25</v>
      </c>
      <c r="D38" s="207">
        <f t="shared" si="8"/>
        <v>6.3291139240506222</v>
      </c>
      <c r="E38" s="207">
        <f t="shared" si="10"/>
        <v>15.862068965517251</v>
      </c>
      <c r="F38" s="210">
        <f t="shared" si="9"/>
        <v>20.68965517241379</v>
      </c>
      <c r="G38" s="211">
        <f t="shared" ref="G38:G43" si="11">100*(B38/B14-1)</f>
        <v>16.666666666666675</v>
      </c>
      <c r="H38" s="209">
        <f>+B$211/B38</f>
        <v>2.2206996355452833</v>
      </c>
    </row>
    <row r="39" spans="1:8" ht="15" hidden="1">
      <c r="A39" s="230" t="s">
        <v>144</v>
      </c>
      <c r="B39" s="231">
        <v>210</v>
      </c>
      <c r="C39" s="207">
        <f t="shared" si="0"/>
        <v>131.25</v>
      </c>
      <c r="D39" s="207">
        <f t="shared" ref="D39:D44" si="12">100*(B39/B38-1)</f>
        <v>0</v>
      </c>
      <c r="E39" s="207">
        <f t="shared" si="10"/>
        <v>15.862068965517251</v>
      </c>
      <c r="F39" s="210">
        <f t="shared" ref="F39:F44" si="13">(100*(B39/B27-1))</f>
        <v>43.178564123542664</v>
      </c>
      <c r="G39" s="211">
        <f t="shared" si="11"/>
        <v>15.068493150684926</v>
      </c>
      <c r="H39" s="209">
        <f>+B$211/B39</f>
        <v>2.2206996355452833</v>
      </c>
    </row>
    <row r="40" spans="1:8" ht="15" hidden="1">
      <c r="A40" s="230" t="s">
        <v>145</v>
      </c>
      <c r="B40" s="231">
        <v>210</v>
      </c>
      <c r="C40" s="207">
        <f t="shared" si="0"/>
        <v>131.25</v>
      </c>
      <c r="D40" s="207">
        <f t="shared" si="12"/>
        <v>0</v>
      </c>
      <c r="E40" s="207">
        <f t="shared" si="10"/>
        <v>15.862068965517251</v>
      </c>
      <c r="F40" s="210">
        <f t="shared" si="13"/>
        <v>11.258278145695355</v>
      </c>
      <c r="G40" s="211">
        <f t="shared" si="11"/>
        <v>16.666666666666675</v>
      </c>
      <c r="H40" s="209">
        <f>+B$211/B40</f>
        <v>2.2206996355452833</v>
      </c>
    </row>
    <row r="41" spans="1:8" ht="15" hidden="1">
      <c r="A41" s="230" t="s">
        <v>146</v>
      </c>
      <c r="B41" s="231">
        <v>212</v>
      </c>
      <c r="C41" s="207">
        <f t="shared" si="0"/>
        <v>132.5</v>
      </c>
      <c r="D41" s="207">
        <f t="shared" si="12"/>
        <v>0.952380952380949</v>
      </c>
      <c r="E41" s="207">
        <f t="shared" ref="E41:E46" si="14">100*(B41/B$34-1)</f>
        <v>16.965517241379313</v>
      </c>
      <c r="F41" s="210">
        <f t="shared" si="13"/>
        <v>27.51879699248121</v>
      </c>
      <c r="G41" s="211">
        <f t="shared" si="11"/>
        <v>16.164383561643824</v>
      </c>
      <c r="H41" s="209">
        <f>+B$211/B41</f>
        <v>2.1997496389835351</v>
      </c>
    </row>
    <row r="42" spans="1:8" ht="15" hidden="1">
      <c r="A42" s="230" t="s">
        <v>147</v>
      </c>
      <c r="B42" s="231">
        <v>218</v>
      </c>
      <c r="C42" s="207">
        <f t="shared" si="0"/>
        <v>136.25</v>
      </c>
      <c r="D42" s="212">
        <f t="shared" si="12"/>
        <v>2.8301886792452935</v>
      </c>
      <c r="E42" s="212">
        <f t="shared" si="14"/>
        <v>20.275862068965523</v>
      </c>
      <c r="F42" s="213">
        <f t="shared" si="13"/>
        <v>20.275862068965523</v>
      </c>
      <c r="G42" s="211">
        <f t="shared" si="11"/>
        <v>21.111111111111104</v>
      </c>
      <c r="H42" s="209">
        <f>+B$211/B42</f>
        <v>2.1392060709381169</v>
      </c>
    </row>
    <row r="43" spans="1:8" ht="15" hidden="1">
      <c r="A43" s="230" t="s">
        <v>148</v>
      </c>
      <c r="B43" s="231">
        <v>220</v>
      </c>
      <c r="C43" s="207">
        <f t="shared" si="0"/>
        <v>137.5</v>
      </c>
      <c r="D43" s="212">
        <f t="shared" si="12"/>
        <v>0.91743119266054496</v>
      </c>
      <c r="E43" s="212">
        <f t="shared" si="14"/>
        <v>21.379310344827584</v>
      </c>
      <c r="F43" s="213">
        <f t="shared" si="13"/>
        <v>31.343283582089555</v>
      </c>
      <c r="G43" s="211">
        <f t="shared" si="11"/>
        <v>32.530120481927717</v>
      </c>
      <c r="H43" s="209">
        <f>+B$211/B43</f>
        <v>2.1197587430204976</v>
      </c>
    </row>
    <row r="44" spans="1:8" ht="15" hidden="1">
      <c r="A44" s="230" t="s">
        <v>149</v>
      </c>
      <c r="B44" s="231">
        <v>214</v>
      </c>
      <c r="C44" s="207">
        <f t="shared" si="0"/>
        <v>133.75</v>
      </c>
      <c r="D44" s="212">
        <f t="shared" si="12"/>
        <v>-2.7272727272727226</v>
      </c>
      <c r="E44" s="212">
        <f t="shared" si="14"/>
        <v>18.068965517241374</v>
      </c>
      <c r="F44" s="213">
        <f t="shared" si="13"/>
        <v>18.888888888888889</v>
      </c>
      <c r="G44" s="211">
        <f t="shared" ref="G44:G49" si="15">100*(B44/B20-1)</f>
        <v>28.915662650602414</v>
      </c>
      <c r="H44" s="209">
        <f>+B$211/B44</f>
        <v>2.1791912311425676</v>
      </c>
    </row>
    <row r="45" spans="1:8" ht="15" hidden="1">
      <c r="A45" s="230" t="s">
        <v>150</v>
      </c>
      <c r="B45" s="231">
        <v>205</v>
      </c>
      <c r="C45" s="207">
        <f t="shared" si="0"/>
        <v>128.125</v>
      </c>
      <c r="D45" s="212">
        <f t="shared" ref="D45:D50" si="16">100*(B45/B44-1)</f>
        <v>-4.2056074766355085</v>
      </c>
      <c r="E45" s="212">
        <f t="shared" si="14"/>
        <v>13.103448275862073</v>
      </c>
      <c r="F45" s="213">
        <f t="shared" ref="F45:F50" si="17">(100*(B45/B33-1))</f>
        <v>17.142857142857149</v>
      </c>
      <c r="G45" s="211">
        <f t="shared" si="15"/>
        <v>23.493975903614462</v>
      </c>
      <c r="H45" s="209">
        <f>+B$211/B45</f>
        <v>2.2748630412902902</v>
      </c>
    </row>
    <row r="46" spans="1:8" ht="15" hidden="1">
      <c r="A46" s="230" t="s">
        <v>151</v>
      </c>
      <c r="B46" s="238">
        <v>204</v>
      </c>
      <c r="C46" s="239">
        <f t="shared" si="0"/>
        <v>127.5</v>
      </c>
      <c r="D46" s="240">
        <f t="shared" si="16"/>
        <v>-0.48780487804878092</v>
      </c>
      <c r="E46" s="240">
        <f t="shared" si="14"/>
        <v>12.551724137931043</v>
      </c>
      <c r="F46" s="241">
        <f t="shared" si="17"/>
        <v>12.551724137931043</v>
      </c>
      <c r="G46" s="242">
        <f t="shared" si="15"/>
        <v>22.891566265060238</v>
      </c>
      <c r="H46" s="209">
        <f>+B$211/B46</f>
        <v>2.2860143307083796</v>
      </c>
    </row>
    <row r="47" spans="1:8" ht="15" hidden="1">
      <c r="A47" s="230" t="s">
        <v>152</v>
      </c>
      <c r="B47" s="231">
        <v>210</v>
      </c>
      <c r="C47" s="207">
        <f t="shared" si="0"/>
        <v>131.25</v>
      </c>
      <c r="D47" s="212">
        <f t="shared" si="16"/>
        <v>2.9411764705882248</v>
      </c>
      <c r="E47" s="212">
        <f t="shared" ref="E47:E52" si="18">100*(B47/B$46-1)</f>
        <v>2.9411764705882248</v>
      </c>
      <c r="F47" s="213">
        <f t="shared" si="17"/>
        <v>14.285714285714279</v>
      </c>
      <c r="G47" s="211">
        <f t="shared" si="15"/>
        <v>20.68965517241379</v>
      </c>
      <c r="H47" s="209">
        <f>+B$211/B47</f>
        <v>2.2206996355452833</v>
      </c>
    </row>
    <row r="48" spans="1:8" ht="15" hidden="1">
      <c r="A48" s="230" t="s">
        <v>153</v>
      </c>
      <c r="B48" s="231">
        <v>204</v>
      </c>
      <c r="C48" s="245">
        <f t="shared" si="0"/>
        <v>127.5</v>
      </c>
      <c r="D48" s="246">
        <f t="shared" si="16"/>
        <v>-2.8571428571428581</v>
      </c>
      <c r="E48" s="212">
        <f t="shared" si="18"/>
        <v>0</v>
      </c>
      <c r="F48" s="247">
        <f t="shared" si="17"/>
        <v>11.020408163265305</v>
      </c>
      <c r="G48" s="211">
        <f t="shared" si="15"/>
        <v>16.571428571428569</v>
      </c>
      <c r="H48" s="209">
        <f>+B$211/B48</f>
        <v>2.2860143307083796</v>
      </c>
    </row>
    <row r="49" spans="1:8" ht="15" hidden="1">
      <c r="A49" s="230" t="s">
        <v>154</v>
      </c>
      <c r="B49" s="231">
        <v>210.83</v>
      </c>
      <c r="C49" s="207">
        <f t="shared" si="0"/>
        <v>131.76875000000001</v>
      </c>
      <c r="D49" s="212">
        <f t="shared" si="16"/>
        <v>3.3480392156862715</v>
      </c>
      <c r="E49" s="212">
        <f t="shared" si="18"/>
        <v>3.3480392156862715</v>
      </c>
      <c r="F49" s="213">
        <f t="shared" si="17"/>
        <v>6.7493670886076051</v>
      </c>
      <c r="G49" s="211">
        <f t="shared" si="15"/>
        <v>21.166666666666668</v>
      </c>
      <c r="H49" s="209">
        <f>+B$211/B49</f>
        <v>2.2119571382844447</v>
      </c>
    </row>
    <row r="50" spans="1:8" ht="15" hidden="1">
      <c r="A50" s="230" t="s">
        <v>155</v>
      </c>
      <c r="B50" s="238">
        <v>211.67</v>
      </c>
      <c r="C50" s="239">
        <f t="shared" si="0"/>
        <v>132.29374999999999</v>
      </c>
      <c r="D50" s="240">
        <f t="shared" si="16"/>
        <v>0.39842527154578811</v>
      </c>
      <c r="E50" s="240">
        <f t="shared" si="18"/>
        <v>3.7598039215686274</v>
      </c>
      <c r="F50" s="241">
        <f t="shared" si="17"/>
        <v>0.7952380952380933</v>
      </c>
      <c r="G50" s="242">
        <f t="shared" ref="G50:G77" si="19">100*(B50/B26-1)</f>
        <v>21.649425287356316</v>
      </c>
      <c r="H50" s="209">
        <f>+B$211/B50</f>
        <v>2.2031791159092431</v>
      </c>
    </row>
    <row r="51" spans="1:8" ht="15" hidden="1">
      <c r="A51" s="230" t="s">
        <v>156</v>
      </c>
      <c r="B51" s="231">
        <v>214.17</v>
      </c>
      <c r="C51" s="207">
        <f t="shared" si="0"/>
        <v>133.85624999999999</v>
      </c>
      <c r="D51" s="212">
        <f>100*(B51/B50-1)</f>
        <v>1.1810837624604442</v>
      </c>
      <c r="E51" s="212">
        <f t="shared" si="18"/>
        <v>4.9852941176470544</v>
      </c>
      <c r="F51" s="213">
        <f t="shared" ref="F51:F64" si="20">(100*(B51/B39-1))</f>
        <v>1.9857142857142795</v>
      </c>
      <c r="G51" s="211">
        <f t="shared" si="19"/>
        <v>46.021681325424439</v>
      </c>
      <c r="H51" s="209">
        <f>+B$211/B51</f>
        <v>2.1774614720292735</v>
      </c>
    </row>
    <row r="52" spans="1:8" ht="15" hidden="1">
      <c r="A52" s="230" t="s">
        <v>157</v>
      </c>
      <c r="B52" s="231">
        <v>220</v>
      </c>
      <c r="C52" s="207">
        <f t="shared" si="0"/>
        <v>137.5</v>
      </c>
      <c r="D52" s="212">
        <f>100*(B52/B51-1)</f>
        <v>2.7221366204417174</v>
      </c>
      <c r="E52" s="212">
        <f t="shared" si="18"/>
        <v>7.8431372549019551</v>
      </c>
      <c r="F52" s="213">
        <f t="shared" si="20"/>
        <v>4.7619047619047672</v>
      </c>
      <c r="G52" s="211">
        <f t="shared" si="19"/>
        <v>16.556291390728472</v>
      </c>
      <c r="H52" s="209">
        <f>+B$211/B52</f>
        <v>2.1197587430204976</v>
      </c>
    </row>
    <row r="53" spans="1:8" ht="15" hidden="1">
      <c r="A53" s="230" t="s">
        <v>158</v>
      </c>
      <c r="B53" s="231">
        <v>146</v>
      </c>
      <c r="C53" s="207">
        <f t="shared" si="0"/>
        <v>91.25</v>
      </c>
      <c r="D53" s="212">
        <f>100*(B53/B52-1)</f>
        <v>-33.636363636363633</v>
      </c>
      <c r="E53" s="212">
        <f t="shared" ref="E53:E58" si="21">100*(B53/B$46-1)</f>
        <v>-28.431372549019606</v>
      </c>
      <c r="F53" s="213">
        <f t="shared" si="20"/>
        <v>-31.132075471698116</v>
      </c>
      <c r="G53" s="211">
        <f t="shared" si="19"/>
        <v>-12.180451127819547</v>
      </c>
      <c r="H53" s="209">
        <f>+B$211/B53</f>
        <v>3.1941570100308869</v>
      </c>
    </row>
    <row r="54" spans="1:8" ht="15" hidden="1">
      <c r="A54" s="230" t="s">
        <v>159</v>
      </c>
      <c r="B54" s="231">
        <v>147</v>
      </c>
      <c r="C54" s="207">
        <f t="shared" si="0"/>
        <v>91.875</v>
      </c>
      <c r="D54" s="212">
        <f t="shared" ref="D54:D59" si="22">100*(B54/B53-1)</f>
        <v>0.68493150684931781</v>
      </c>
      <c r="E54" s="212">
        <f t="shared" si="21"/>
        <v>-27.941176470588236</v>
      </c>
      <c r="F54" s="213">
        <f t="shared" si="20"/>
        <v>-32.568807339449549</v>
      </c>
      <c r="G54" s="211">
        <f t="shared" si="19"/>
        <v>-18.896551724137932</v>
      </c>
      <c r="H54" s="209">
        <f>+B$211/B54</f>
        <v>3.1724280507789762</v>
      </c>
    </row>
    <row r="55" spans="1:8" ht="15" hidden="1">
      <c r="A55" s="230" t="s">
        <v>160</v>
      </c>
      <c r="B55" s="231">
        <v>147.5</v>
      </c>
      <c r="C55" s="207">
        <f t="shared" si="0"/>
        <v>92.1875</v>
      </c>
      <c r="D55" s="212">
        <f t="shared" si="22"/>
        <v>0.34013605442175798</v>
      </c>
      <c r="E55" s="212">
        <f t="shared" si="21"/>
        <v>-27.696078431372552</v>
      </c>
      <c r="F55" s="213">
        <f t="shared" si="20"/>
        <v>-32.95454545454546</v>
      </c>
      <c r="G55" s="211">
        <f t="shared" si="19"/>
        <v>-11.940298507462687</v>
      </c>
      <c r="H55" s="209">
        <f>+B$211/B55</f>
        <v>3.161674057386505</v>
      </c>
    </row>
    <row r="56" spans="1:8" ht="15" hidden="1">
      <c r="A56" s="230" t="s">
        <v>161</v>
      </c>
      <c r="B56" s="231">
        <v>147</v>
      </c>
      <c r="C56" s="207">
        <f t="shared" si="0"/>
        <v>91.875</v>
      </c>
      <c r="D56" s="212">
        <f t="shared" si="22"/>
        <v>-0.33898305084745228</v>
      </c>
      <c r="E56" s="212">
        <f t="shared" si="21"/>
        <v>-27.941176470588236</v>
      </c>
      <c r="F56" s="213">
        <f t="shared" si="20"/>
        <v>-31.308411214953267</v>
      </c>
      <c r="G56" s="211">
        <f t="shared" si="19"/>
        <v>-18.333333333333336</v>
      </c>
      <c r="H56" s="209">
        <f>+B$211/B56</f>
        <v>3.1724280507789762</v>
      </c>
    </row>
    <row r="57" spans="1:8" ht="15" hidden="1">
      <c r="A57" s="230" t="s">
        <v>162</v>
      </c>
      <c r="B57" s="231">
        <v>146.25</v>
      </c>
      <c r="C57" s="207">
        <f t="shared" si="0"/>
        <v>91.40625</v>
      </c>
      <c r="D57" s="212">
        <f t="shared" si="22"/>
        <v>-0.51020408163264808</v>
      </c>
      <c r="E57" s="212">
        <f t="shared" si="21"/>
        <v>-28.308823529411764</v>
      </c>
      <c r="F57" s="213">
        <f t="shared" si="20"/>
        <v>-28.658536585365859</v>
      </c>
      <c r="G57" s="211">
        <f t="shared" si="19"/>
        <v>-16.428571428571427</v>
      </c>
      <c r="H57" s="209">
        <f>+B$211/B57</f>
        <v>3.1886969125778424</v>
      </c>
    </row>
    <row r="58" spans="1:8" ht="15" hidden="1">
      <c r="A58" s="230" t="s">
        <v>163</v>
      </c>
      <c r="B58" s="231">
        <v>147</v>
      </c>
      <c r="C58" s="207">
        <f t="shared" si="0"/>
        <v>91.875</v>
      </c>
      <c r="D58" s="212">
        <f t="shared" si="22"/>
        <v>0.512820512820511</v>
      </c>
      <c r="E58" s="212">
        <f t="shared" si="21"/>
        <v>-27.941176470588236</v>
      </c>
      <c r="F58" s="213">
        <f t="shared" si="20"/>
        <v>-27.941176470588236</v>
      </c>
      <c r="G58" s="211">
        <f t="shared" si="19"/>
        <v>-18.896551724137932</v>
      </c>
      <c r="H58" s="209">
        <f>+B$211/B58</f>
        <v>3.1724280507789762</v>
      </c>
    </row>
    <row r="59" spans="1:8" ht="15" hidden="1">
      <c r="A59" s="230" t="s">
        <v>164</v>
      </c>
      <c r="B59" s="231">
        <f>[105]LAVAGEM!$D$16</f>
        <v>147.5</v>
      </c>
      <c r="C59" s="207">
        <f t="shared" si="0"/>
        <v>92.1875</v>
      </c>
      <c r="D59" s="212">
        <f t="shared" si="22"/>
        <v>0.34013605442175798</v>
      </c>
      <c r="E59" s="212">
        <f t="shared" ref="E59:E64" si="23">100*(B59/B$58-1)</f>
        <v>0.34013605442175798</v>
      </c>
      <c r="F59" s="213">
        <f t="shared" si="20"/>
        <v>-29.761904761904766</v>
      </c>
      <c r="G59" s="211">
        <f t="shared" si="19"/>
        <v>-19.727891156462583</v>
      </c>
      <c r="H59" s="209">
        <f>+B$211/B59</f>
        <v>3.161674057386505</v>
      </c>
    </row>
    <row r="60" spans="1:8" ht="15" hidden="1">
      <c r="A60" s="230" t="s">
        <v>165</v>
      </c>
      <c r="B60" s="231">
        <f>[106]LAVAGEM!$D$16</f>
        <v>149</v>
      </c>
      <c r="C60" s="207">
        <f t="shared" si="0"/>
        <v>93.125</v>
      </c>
      <c r="D60" s="212">
        <f t="shared" ref="D60:D65" si="24">100*(B60/B59-1)</f>
        <v>1.0169491525423791</v>
      </c>
      <c r="E60" s="212">
        <f t="shared" si="23"/>
        <v>1.3605442176870763</v>
      </c>
      <c r="F60" s="213">
        <f t="shared" si="20"/>
        <v>-26.960784313725494</v>
      </c>
      <c r="G60" s="211">
        <f t="shared" si="19"/>
        <v>-18.911564625850342</v>
      </c>
      <c r="H60" s="209">
        <f>+B$211/B60</f>
        <v>3.1298451239228822</v>
      </c>
    </row>
    <row r="61" spans="1:8" ht="15" hidden="1">
      <c r="A61" s="230" t="s">
        <v>166</v>
      </c>
      <c r="B61" s="231">
        <f>[107]LAVAGEM!$D$16</f>
        <v>150</v>
      </c>
      <c r="C61" s="207">
        <f t="shared" si="0"/>
        <v>93.75</v>
      </c>
      <c r="D61" s="212">
        <f t="shared" si="24"/>
        <v>0.67114093959732557</v>
      </c>
      <c r="E61" s="212">
        <f t="shared" si="23"/>
        <v>2.0408163265306145</v>
      </c>
      <c r="F61" s="213">
        <f t="shared" si="20"/>
        <v>-28.852630081108011</v>
      </c>
      <c r="G61" s="211">
        <f t="shared" si="19"/>
        <v>-24.050632911392398</v>
      </c>
      <c r="H61" s="209">
        <f>+B$211/B61</f>
        <v>3.1089794897633967</v>
      </c>
    </row>
    <row r="62" spans="1:8" ht="15" hidden="1">
      <c r="A62" s="230" t="s">
        <v>167</v>
      </c>
      <c r="B62" s="231">
        <f>[108]LAVAGEM!$D$16</f>
        <v>151</v>
      </c>
      <c r="C62" s="207">
        <f t="shared" si="0"/>
        <v>94.375</v>
      </c>
      <c r="D62" s="212">
        <f t="shared" si="24"/>
        <v>0.66666666666665986</v>
      </c>
      <c r="E62" s="212">
        <f t="shared" si="23"/>
        <v>2.7210884353741527</v>
      </c>
      <c r="F62" s="213">
        <f t="shared" si="20"/>
        <v>-28.662540747389798</v>
      </c>
      <c r="G62" s="211">
        <f t="shared" si="19"/>
        <v>-28.095238095238095</v>
      </c>
      <c r="H62" s="209">
        <f>+B$211/B62</f>
        <v>3.0883902216192682</v>
      </c>
    </row>
    <row r="63" spans="1:8" ht="15" hidden="1">
      <c r="A63" s="230" t="s">
        <v>168</v>
      </c>
      <c r="B63" s="231">
        <f>[109]LAVAGEM!$D$16</f>
        <v>152</v>
      </c>
      <c r="C63" s="207">
        <f t="shared" si="0"/>
        <v>95</v>
      </c>
      <c r="D63" s="212">
        <f t="shared" si="24"/>
        <v>0.66225165562914245</v>
      </c>
      <c r="E63" s="212">
        <f t="shared" si="23"/>
        <v>3.4013605442176909</v>
      </c>
      <c r="F63" s="213">
        <f t="shared" si="20"/>
        <v>-29.028341971331184</v>
      </c>
      <c r="G63" s="211">
        <f t="shared" si="19"/>
        <v>-27.61904761904762</v>
      </c>
      <c r="H63" s="209">
        <f>+B$211/B63</f>
        <v>3.0680718648980885</v>
      </c>
    </row>
    <row r="64" spans="1:8" ht="15" hidden="1">
      <c r="A64" s="230" t="s">
        <v>169</v>
      </c>
      <c r="B64" s="231">
        <f>[110]LAVAGEM!$D$16</f>
        <v>153</v>
      </c>
      <c r="C64" s="207">
        <f t="shared" si="0"/>
        <v>95.625</v>
      </c>
      <c r="D64" s="212">
        <f t="shared" si="24"/>
        <v>0.65789473684210176</v>
      </c>
      <c r="E64" s="212">
        <f t="shared" si="23"/>
        <v>4.081632653061229</v>
      </c>
      <c r="F64" s="213">
        <f t="shared" si="20"/>
        <v>-30.454545454545457</v>
      </c>
      <c r="G64" s="211">
        <f t="shared" si="19"/>
        <v>-27.142857142857146</v>
      </c>
      <c r="H64" s="209">
        <f>+B$211/B64</f>
        <v>3.0480191076111729</v>
      </c>
    </row>
    <row r="65" spans="1:8" ht="15" hidden="1">
      <c r="A65" s="230" t="s">
        <v>170</v>
      </c>
      <c r="B65" s="231">
        <f>[111]LAVAGEM!$D$16</f>
        <v>154</v>
      </c>
      <c r="C65" s="207">
        <f t="shared" si="0"/>
        <v>96.25</v>
      </c>
      <c r="D65" s="212">
        <f t="shared" si="24"/>
        <v>0.65359477124182774</v>
      </c>
      <c r="E65" s="212">
        <f t="shared" ref="E65:E70" si="25">100*(B65/B$58-1)</f>
        <v>4.7619047619047672</v>
      </c>
      <c r="F65" s="213">
        <f t="shared" ref="F65:F70" si="26">(100*(B65/B53-1))</f>
        <v>5.4794520547945202</v>
      </c>
      <c r="G65" s="211">
        <f t="shared" si="19"/>
        <v>-27.358490566037741</v>
      </c>
      <c r="H65" s="209">
        <f>+B$211/B65</f>
        <v>3.0282267757435681</v>
      </c>
    </row>
    <row r="66" spans="1:8" ht="15" hidden="1">
      <c r="A66" s="230" t="s">
        <v>171</v>
      </c>
      <c r="B66" s="231">
        <f>[112]LAVAGEM!$D$16</f>
        <v>152.5</v>
      </c>
      <c r="C66" s="207">
        <f t="shared" si="0"/>
        <v>95.3125</v>
      </c>
      <c r="D66" s="212">
        <f t="shared" ref="D66:D71" si="27">100*(B66/B65-1)</f>
        <v>-0.97402597402597157</v>
      </c>
      <c r="E66" s="212">
        <f t="shared" si="25"/>
        <v>3.7414965986394488</v>
      </c>
      <c r="F66" s="213">
        <f t="shared" si="26"/>
        <v>3.7414965986394488</v>
      </c>
      <c r="G66" s="211">
        <f t="shared" si="19"/>
        <v>-30.045871559633031</v>
      </c>
      <c r="H66" s="209">
        <f>+B$211/B66</f>
        <v>3.0580126128820293</v>
      </c>
    </row>
    <row r="67" spans="1:8" ht="15" hidden="1">
      <c r="A67" s="230" t="s">
        <v>172</v>
      </c>
      <c r="B67" s="231">
        <f>[113]LAVAGEM!$D$16</f>
        <v>155</v>
      </c>
      <c r="C67" s="207">
        <f t="shared" si="0"/>
        <v>96.875</v>
      </c>
      <c r="D67" s="212">
        <f t="shared" si="27"/>
        <v>1.6393442622950838</v>
      </c>
      <c r="E67" s="212">
        <f t="shared" si="25"/>
        <v>5.4421768707483054</v>
      </c>
      <c r="F67" s="213">
        <f t="shared" si="26"/>
        <v>5.0847457627118731</v>
      </c>
      <c r="G67" s="211">
        <f t="shared" si="19"/>
        <v>-29.54545454545454</v>
      </c>
      <c r="H67" s="209">
        <f>+B$211/B67</f>
        <v>3.0086898288032868</v>
      </c>
    </row>
    <row r="68" spans="1:8" ht="15" hidden="1">
      <c r="A68" s="230" t="s">
        <v>173</v>
      </c>
      <c r="B68" s="231">
        <f>[114]LAVAGEM!$D$16</f>
        <v>157</v>
      </c>
      <c r="C68" s="207">
        <f t="shared" si="0"/>
        <v>98.125</v>
      </c>
      <c r="D68" s="212">
        <f t="shared" si="27"/>
        <v>1.2903225806451646</v>
      </c>
      <c r="E68" s="212">
        <f t="shared" si="25"/>
        <v>6.8027210884353817</v>
      </c>
      <c r="F68" s="213">
        <f t="shared" si="26"/>
        <v>6.8027210884353817</v>
      </c>
      <c r="G68" s="211">
        <f t="shared" si="19"/>
        <v>-26.635514018691588</v>
      </c>
      <c r="H68" s="209">
        <f>+B$211/B68</f>
        <v>2.9703625698376399</v>
      </c>
    </row>
    <row r="69" spans="1:8" ht="15" hidden="1">
      <c r="A69" s="230" t="s">
        <v>174</v>
      </c>
      <c r="B69" s="231">
        <f>[115]LAVAGEM!$D$16</f>
        <v>157</v>
      </c>
      <c r="C69" s="207">
        <f t="shared" si="0"/>
        <v>98.125</v>
      </c>
      <c r="D69" s="212">
        <f t="shared" si="27"/>
        <v>0</v>
      </c>
      <c r="E69" s="212">
        <f t="shared" si="25"/>
        <v>6.8027210884353817</v>
      </c>
      <c r="F69" s="213">
        <f t="shared" si="26"/>
        <v>7.3504273504273465</v>
      </c>
      <c r="G69" s="211">
        <f t="shared" si="19"/>
        <v>-23.414634146341463</v>
      </c>
      <c r="H69" s="209">
        <f>+B$211/B69</f>
        <v>2.9703625698376399</v>
      </c>
    </row>
    <row r="70" spans="1:8" ht="15" hidden="1">
      <c r="A70" s="230" t="s">
        <v>175</v>
      </c>
      <c r="B70" s="231">
        <f>[116]LAVAGEM!$D$16</f>
        <v>158</v>
      </c>
      <c r="C70" s="207">
        <f t="shared" si="0"/>
        <v>98.75</v>
      </c>
      <c r="D70" s="212">
        <f t="shared" si="27"/>
        <v>0.63694267515923553</v>
      </c>
      <c r="E70" s="212">
        <f t="shared" si="25"/>
        <v>7.4829931972789199</v>
      </c>
      <c r="F70" s="213">
        <f t="shared" si="26"/>
        <v>7.4829931972789199</v>
      </c>
      <c r="G70" s="211">
        <f t="shared" si="19"/>
        <v>-22.549019607843135</v>
      </c>
      <c r="H70" s="209">
        <f>+B$211/B70</f>
        <v>2.9515628067374018</v>
      </c>
    </row>
    <row r="71" spans="1:8" ht="15" hidden="1">
      <c r="A71" s="230" t="s">
        <v>176</v>
      </c>
      <c r="B71" s="231">
        <f>[117]LAVAGEM!$D$16</f>
        <v>157.5</v>
      </c>
      <c r="C71" s="207">
        <f t="shared" si="0"/>
        <v>98.4375</v>
      </c>
      <c r="D71" s="212">
        <f t="shared" si="27"/>
        <v>-0.31645569620253333</v>
      </c>
      <c r="E71" s="212">
        <f t="shared" ref="E71:E76" si="28">100*(B71/B$70-1)</f>
        <v>-0.31645569620253333</v>
      </c>
      <c r="F71" s="213">
        <f t="shared" ref="F71:F76" si="29">(100*(B71/B59-1))</f>
        <v>6.7796610169491567</v>
      </c>
      <c r="G71" s="211">
        <f t="shared" si="19"/>
        <v>-25</v>
      </c>
      <c r="H71" s="209">
        <f>+B$211/B71</f>
        <v>2.9609328473937109</v>
      </c>
    </row>
    <row r="72" spans="1:8" ht="15" hidden="1">
      <c r="A72" s="230" t="s">
        <v>177</v>
      </c>
      <c r="B72" s="231">
        <f>[118]LAVAGEM!$D$16</f>
        <v>160</v>
      </c>
      <c r="C72" s="207">
        <f t="shared" si="0"/>
        <v>100</v>
      </c>
      <c r="D72" s="212">
        <f t="shared" ref="D72:D77" si="30">100*(B72/B71-1)</f>
        <v>1.5873015873015817</v>
      </c>
      <c r="E72" s="212">
        <f t="shared" si="28"/>
        <v>1.2658227848101333</v>
      </c>
      <c r="F72" s="213">
        <f t="shared" si="29"/>
        <v>7.3825503355704702</v>
      </c>
      <c r="G72" s="211">
        <f t="shared" si="19"/>
        <v>-21.568627450980394</v>
      </c>
      <c r="H72" s="209">
        <f>+B$211/B72</f>
        <v>2.9146682716531842</v>
      </c>
    </row>
    <row r="73" spans="1:8" ht="15" hidden="1">
      <c r="A73" s="230" t="s">
        <v>178</v>
      </c>
      <c r="B73" s="231">
        <f>[119]LAVAGEM!$D$16</f>
        <v>162.5</v>
      </c>
      <c r="C73" s="207">
        <f t="shared" si="0"/>
        <v>101.5625</v>
      </c>
      <c r="D73" s="212">
        <f t="shared" si="30"/>
        <v>1.5625</v>
      </c>
      <c r="E73" s="212">
        <f t="shared" si="28"/>
        <v>2.8481012658227778</v>
      </c>
      <c r="F73" s="213">
        <f t="shared" si="29"/>
        <v>8.333333333333325</v>
      </c>
      <c r="G73" s="211">
        <f t="shared" si="19"/>
        <v>-22.923682587867013</v>
      </c>
      <c r="H73" s="209">
        <f>+B$211/B73</f>
        <v>2.8698272213200582</v>
      </c>
    </row>
    <row r="74" spans="1:8" ht="15" hidden="1">
      <c r="A74" s="230" t="s">
        <v>179</v>
      </c>
      <c r="B74" s="231">
        <f>[120]LAVAGEM!$D$16</f>
        <v>160</v>
      </c>
      <c r="C74" s="207">
        <f t="shared" si="0"/>
        <v>100</v>
      </c>
      <c r="D74" s="212">
        <f t="shared" si="30"/>
        <v>-1.538461538461533</v>
      </c>
      <c r="E74" s="212">
        <f t="shared" si="28"/>
        <v>1.2658227848101333</v>
      </c>
      <c r="F74" s="213">
        <f t="shared" si="29"/>
        <v>5.9602649006622599</v>
      </c>
      <c r="G74" s="211">
        <f t="shared" si="19"/>
        <v>-24.410639202532238</v>
      </c>
      <c r="H74" s="209">
        <f>+B$211/B74</f>
        <v>2.9146682716531842</v>
      </c>
    </row>
    <row r="75" spans="1:8" ht="15" hidden="1">
      <c r="A75" s="230" t="s">
        <v>180</v>
      </c>
      <c r="B75" s="231">
        <f>[121]LAVAGEM!$D$16</f>
        <v>162</v>
      </c>
      <c r="C75" s="207">
        <f t="shared" si="0"/>
        <v>101.25</v>
      </c>
      <c r="D75" s="212">
        <f t="shared" si="30"/>
        <v>1.2499999999999956</v>
      </c>
      <c r="E75" s="212">
        <f t="shared" si="28"/>
        <v>2.5316455696202445</v>
      </c>
      <c r="F75" s="213">
        <f t="shared" si="29"/>
        <v>6.578947368421062</v>
      </c>
      <c r="G75" s="211">
        <f t="shared" si="19"/>
        <v>-24.359153943129286</v>
      </c>
      <c r="H75" s="209">
        <f>+B$211/B75</f>
        <v>2.8786847127438855</v>
      </c>
    </row>
    <row r="76" spans="1:8" ht="15" hidden="1">
      <c r="A76" s="230" t="s">
        <v>181</v>
      </c>
      <c r="B76" s="231">
        <f>[122]LAVAGEM!$D$16</f>
        <v>163</v>
      </c>
      <c r="C76" s="207">
        <f t="shared" si="0"/>
        <v>101.875</v>
      </c>
      <c r="D76" s="212">
        <f t="shared" si="30"/>
        <v>0.61728395061728669</v>
      </c>
      <c r="E76" s="212">
        <f t="shared" si="28"/>
        <v>3.1645569620253111</v>
      </c>
      <c r="F76" s="213">
        <f t="shared" si="29"/>
        <v>6.5359477124182996</v>
      </c>
      <c r="G76" s="211">
        <f t="shared" si="19"/>
        <v>-25.909090909090903</v>
      </c>
      <c r="H76" s="209">
        <f>+B$211/B76</f>
        <v>2.8610240703344139</v>
      </c>
    </row>
    <row r="77" spans="1:8" ht="15" hidden="1">
      <c r="A77" s="230" t="s">
        <v>182</v>
      </c>
      <c r="B77" s="231">
        <f>[123]LAVAGEM!$D$16</f>
        <v>164</v>
      </c>
      <c r="C77" s="207">
        <f t="shared" si="0"/>
        <v>102.5</v>
      </c>
      <c r="D77" s="212">
        <f t="shared" si="30"/>
        <v>0.61349693251533388</v>
      </c>
      <c r="E77" s="212">
        <f t="shared" ref="E77:E82" si="31">100*(B77/B$70-1)</f>
        <v>3.7974683544303778</v>
      </c>
      <c r="F77" s="213">
        <f t="shared" ref="F77:F82" si="32">(100*(B77/B65-1))</f>
        <v>6.4935064935064846</v>
      </c>
      <c r="G77" s="211">
        <f t="shared" si="19"/>
        <v>12.328767123287676</v>
      </c>
      <c r="H77" s="209">
        <f>+B$211/B77</f>
        <v>2.8435788016128627</v>
      </c>
    </row>
    <row r="78" spans="1:8" ht="15" hidden="1">
      <c r="A78" s="230" t="s">
        <v>183</v>
      </c>
      <c r="B78" s="231">
        <f>[124]LAVAGEM!$D$16</f>
        <v>168</v>
      </c>
      <c r="C78" s="207">
        <f t="shared" si="0"/>
        <v>105</v>
      </c>
      <c r="D78" s="212">
        <f t="shared" ref="D78:D83" si="33">100*(B78/B77-1)</f>
        <v>2.4390243902439046</v>
      </c>
      <c r="E78" s="212">
        <f t="shared" si="31"/>
        <v>6.3291139240506222</v>
      </c>
      <c r="F78" s="213">
        <f t="shared" si="32"/>
        <v>10.163934426229515</v>
      </c>
      <c r="G78" s="211">
        <f t="shared" ref="G78:G100" si="34">100*(B78/B54-1)</f>
        <v>14.285714285714279</v>
      </c>
      <c r="H78" s="209">
        <f>+B$211/B78</f>
        <v>2.7758745444316042</v>
      </c>
    </row>
    <row r="79" spans="1:8" ht="15" hidden="1">
      <c r="A79" s="230" t="s">
        <v>184</v>
      </c>
      <c r="B79" s="231">
        <f>[125]LAVAGEM!$D$16</f>
        <v>168.6</v>
      </c>
      <c r="C79" s="207">
        <f t="shared" si="0"/>
        <v>105.375</v>
      </c>
      <c r="D79" s="212">
        <f t="shared" si="33"/>
        <v>0.35714285714285587</v>
      </c>
      <c r="E79" s="212">
        <f t="shared" si="31"/>
        <v>6.7088607594936622</v>
      </c>
      <c r="F79" s="213">
        <f t="shared" si="32"/>
        <v>8.774193548387089</v>
      </c>
      <c r="G79" s="211">
        <f t="shared" si="34"/>
        <v>14.305084745762709</v>
      </c>
      <c r="H79" s="209">
        <f>+B$211/B79</f>
        <v>2.7659959873339828</v>
      </c>
    </row>
    <row r="80" spans="1:8" ht="15" hidden="1">
      <c r="A80" s="230" t="s">
        <v>185</v>
      </c>
      <c r="B80" s="231">
        <f>[126]LAVAGEM!$D$16</f>
        <v>171</v>
      </c>
      <c r="C80" s="207">
        <f t="shared" si="0"/>
        <v>106.875</v>
      </c>
      <c r="D80" s="212">
        <f t="shared" si="33"/>
        <v>1.4234875444839812</v>
      </c>
      <c r="E80" s="212">
        <f t="shared" si="31"/>
        <v>8.2278481012658222</v>
      </c>
      <c r="F80" s="213">
        <f t="shared" si="32"/>
        <v>8.9171974522292974</v>
      </c>
      <c r="G80" s="211">
        <f t="shared" si="34"/>
        <v>16.326530612244895</v>
      </c>
      <c r="H80" s="209">
        <f>+B$211/B80</f>
        <v>2.7271749910205232</v>
      </c>
    </row>
    <row r="81" spans="1:8" ht="15" hidden="1">
      <c r="A81" s="230" t="s">
        <v>186</v>
      </c>
      <c r="B81" s="231">
        <f>[127]LAVAGEM!$D$16</f>
        <v>178</v>
      </c>
      <c r="C81" s="207">
        <f t="shared" si="0"/>
        <v>111.25</v>
      </c>
      <c r="D81" s="212">
        <f t="shared" si="33"/>
        <v>4.0935672514619936</v>
      </c>
      <c r="E81" s="212">
        <f t="shared" si="31"/>
        <v>12.658227848101266</v>
      </c>
      <c r="F81" s="213">
        <f t="shared" si="32"/>
        <v>13.375796178343947</v>
      </c>
      <c r="G81" s="211">
        <f t="shared" si="34"/>
        <v>21.7094017094017</v>
      </c>
      <c r="H81" s="209">
        <f>+B$211/B81</f>
        <v>2.6199265363174691</v>
      </c>
    </row>
    <row r="82" spans="1:8" ht="15" hidden="1">
      <c r="A82" s="230" t="s">
        <v>187</v>
      </c>
      <c r="B82" s="231">
        <f>[128]LAVAGEM!$D$16</f>
        <v>174.6</v>
      </c>
      <c r="C82" s="207">
        <f t="shared" si="0"/>
        <v>109.125</v>
      </c>
      <c r="D82" s="212">
        <f t="shared" si="33"/>
        <v>-1.9101123595505642</v>
      </c>
      <c r="E82" s="212">
        <f t="shared" si="31"/>
        <v>10.506329113924039</v>
      </c>
      <c r="F82" s="213">
        <f t="shared" si="32"/>
        <v>10.506329113924039</v>
      </c>
      <c r="G82" s="211">
        <f t="shared" si="34"/>
        <v>18.775510204081634</v>
      </c>
      <c r="H82" s="209">
        <f>+B$211/B82</f>
        <v>2.6709445788345332</v>
      </c>
    </row>
    <row r="83" spans="1:8" ht="15" hidden="1">
      <c r="A83" s="230" t="s">
        <v>188</v>
      </c>
      <c r="B83" s="231">
        <f>[129]LAVAGEM!$D$16</f>
        <v>174.6</v>
      </c>
      <c r="C83" s="207">
        <f t="shared" si="0"/>
        <v>109.125</v>
      </c>
      <c r="D83" s="212">
        <f t="shared" si="33"/>
        <v>0</v>
      </c>
      <c r="E83" s="212">
        <f t="shared" ref="E83:E88" si="35">100*(B83/B$82-1)</f>
        <v>0</v>
      </c>
      <c r="F83" s="213">
        <f t="shared" ref="F83:F88" si="36">(100*(B83/B71-1))</f>
        <v>10.857142857142854</v>
      </c>
      <c r="G83" s="211">
        <f t="shared" si="34"/>
        <v>18.372881355932201</v>
      </c>
      <c r="H83" s="209">
        <f>+B$211/B83</f>
        <v>2.6709445788345332</v>
      </c>
    </row>
    <row r="84" spans="1:8" ht="15" hidden="1">
      <c r="A84" s="230" t="s">
        <v>189</v>
      </c>
      <c r="B84" s="231">
        <f>[130]LAVAGEM!$D$16</f>
        <v>234.596</v>
      </c>
      <c r="C84" s="207">
        <f t="shared" si="0"/>
        <v>146.6225</v>
      </c>
      <c r="D84" s="212">
        <f t="shared" ref="D84:D89" si="37">100*(B84/B83-1)</f>
        <v>34.361970217640334</v>
      </c>
      <c r="E84" s="212">
        <f t="shared" si="35"/>
        <v>34.361970217640334</v>
      </c>
      <c r="F84" s="213">
        <f t="shared" si="36"/>
        <v>46.622500000000009</v>
      </c>
      <c r="G84" s="211">
        <f t="shared" si="34"/>
        <v>57.446979865771809</v>
      </c>
      <c r="H84" s="209">
        <f>+B$211/B84</f>
        <v>1.9878724422603518</v>
      </c>
    </row>
    <row r="85" spans="1:8" ht="15" hidden="1">
      <c r="A85" s="230" t="s">
        <v>190</v>
      </c>
      <c r="B85" s="231">
        <f>[131]LAVAGEM!$D$16</f>
        <v>308.5</v>
      </c>
      <c r="C85" s="207">
        <f t="shared" si="0"/>
        <v>192.8125</v>
      </c>
      <c r="D85" s="212">
        <f t="shared" si="37"/>
        <v>31.502668417193803</v>
      </c>
      <c r="E85" s="212">
        <f t="shared" si="35"/>
        <v>76.689576174112275</v>
      </c>
      <c r="F85" s="213">
        <f t="shared" si="36"/>
        <v>89.84615384615384</v>
      </c>
      <c r="G85" s="211">
        <f t="shared" si="34"/>
        <v>105.66666666666666</v>
      </c>
      <c r="H85" s="209">
        <f>+B$211/B85</f>
        <v>1.5116593953468702</v>
      </c>
    </row>
    <row r="86" spans="1:8" ht="15" hidden="1">
      <c r="A86" s="230" t="s">
        <v>191</v>
      </c>
      <c r="B86" s="231">
        <f>[132]LAVAGEM!$D$16</f>
        <v>308.5</v>
      </c>
      <c r="C86" s="207">
        <f t="shared" si="0"/>
        <v>192.8125</v>
      </c>
      <c r="D86" s="212">
        <f t="shared" si="37"/>
        <v>0</v>
      </c>
      <c r="E86" s="212">
        <f t="shared" si="35"/>
        <v>76.689576174112275</v>
      </c>
      <c r="F86" s="213">
        <f t="shared" si="36"/>
        <v>92.812500000000014</v>
      </c>
      <c r="G86" s="211">
        <f t="shared" si="34"/>
        <v>104.30463576158941</v>
      </c>
      <c r="H86" s="209">
        <f>+B$211/B86</f>
        <v>1.5116593953468702</v>
      </c>
    </row>
    <row r="87" spans="1:8" ht="15" hidden="1">
      <c r="A87" s="230" t="s">
        <v>192</v>
      </c>
      <c r="B87" s="231">
        <f>[133]LAVAGEM!$D$16</f>
        <v>308.5</v>
      </c>
      <c r="C87" s="207">
        <f t="shared" si="0"/>
        <v>192.8125</v>
      </c>
      <c r="D87" s="212">
        <f t="shared" si="37"/>
        <v>0</v>
      </c>
      <c r="E87" s="212">
        <f t="shared" si="35"/>
        <v>76.689576174112275</v>
      </c>
      <c r="F87" s="213">
        <f t="shared" si="36"/>
        <v>90.432098765432102</v>
      </c>
      <c r="G87" s="211">
        <f t="shared" si="34"/>
        <v>102.96052631578947</v>
      </c>
      <c r="H87" s="209">
        <f>+B$211/B87</f>
        <v>1.5116593953468702</v>
      </c>
    </row>
    <row r="88" spans="1:8" ht="15" hidden="1">
      <c r="A88" s="230" t="s">
        <v>193</v>
      </c>
      <c r="B88" s="231">
        <f>[134]LAVAGEM!$D$16</f>
        <v>308.5</v>
      </c>
      <c r="C88" s="207">
        <f t="shared" si="0"/>
        <v>192.8125</v>
      </c>
      <c r="D88" s="212">
        <f t="shared" si="37"/>
        <v>0</v>
      </c>
      <c r="E88" s="212">
        <f t="shared" si="35"/>
        <v>76.689576174112275</v>
      </c>
      <c r="F88" s="213">
        <f t="shared" si="36"/>
        <v>89.263803680981596</v>
      </c>
      <c r="G88" s="211">
        <f t="shared" si="34"/>
        <v>101.63398692810458</v>
      </c>
      <c r="H88" s="209">
        <f>+B$211/B88</f>
        <v>1.5116593953468702</v>
      </c>
    </row>
    <row r="89" spans="1:8" ht="15" hidden="1">
      <c r="A89" s="230" t="s">
        <v>194</v>
      </c>
      <c r="B89" s="231">
        <f>[135]LAVAGEM!$D$16</f>
        <v>312</v>
      </c>
      <c r="C89" s="207">
        <f t="shared" si="0"/>
        <v>195</v>
      </c>
      <c r="D89" s="212">
        <f t="shared" si="37"/>
        <v>1.1345218800648205</v>
      </c>
      <c r="E89" s="212">
        <f t="shared" ref="E89:E94" si="38">100*(B89/B$82-1)</f>
        <v>78.694158075601379</v>
      </c>
      <c r="F89" s="213">
        <f t="shared" ref="F89:F100" si="39">(100*(B89/B77-1))</f>
        <v>90.243902439024382</v>
      </c>
      <c r="G89" s="211">
        <f t="shared" si="34"/>
        <v>102.59740259740258</v>
      </c>
      <c r="H89" s="209">
        <f>+B$211/B89</f>
        <v>1.4947016777708637</v>
      </c>
    </row>
    <row r="90" spans="1:8" ht="15" hidden="1">
      <c r="A90" s="230" t="s">
        <v>195</v>
      </c>
      <c r="B90" s="231">
        <f>[136]LAVAGEM!$D$16</f>
        <v>312</v>
      </c>
      <c r="C90" s="207">
        <f t="shared" si="0"/>
        <v>195</v>
      </c>
      <c r="D90" s="212">
        <f t="shared" ref="D90:D95" si="40">100*(B90/B89-1)</f>
        <v>0</v>
      </c>
      <c r="E90" s="212">
        <f t="shared" si="38"/>
        <v>78.694158075601379</v>
      </c>
      <c r="F90" s="213">
        <f t="shared" si="39"/>
        <v>85.714285714285722</v>
      </c>
      <c r="G90" s="211">
        <f t="shared" si="34"/>
        <v>104.59016393442622</v>
      </c>
      <c r="H90" s="209">
        <f>+B$211/B90</f>
        <v>1.4947016777708637</v>
      </c>
    </row>
    <row r="91" spans="1:8" ht="15" hidden="1">
      <c r="A91" s="230" t="s">
        <v>196</v>
      </c>
      <c r="B91" s="231">
        <f>[137]LAVAGEM!$D$16</f>
        <v>312</v>
      </c>
      <c r="C91" s="207">
        <f t="shared" si="0"/>
        <v>195</v>
      </c>
      <c r="D91" s="212">
        <f t="shared" si="40"/>
        <v>0</v>
      </c>
      <c r="E91" s="212">
        <f t="shared" si="38"/>
        <v>78.694158075601379</v>
      </c>
      <c r="F91" s="213">
        <f t="shared" si="39"/>
        <v>85.053380782918154</v>
      </c>
      <c r="G91" s="211">
        <f t="shared" si="34"/>
        <v>101.29032258064514</v>
      </c>
      <c r="H91" s="209">
        <f>+B$211/B91</f>
        <v>1.4947016777708637</v>
      </c>
    </row>
    <row r="92" spans="1:8" ht="15" hidden="1">
      <c r="A92" s="230" t="s">
        <v>197</v>
      </c>
      <c r="B92" s="231">
        <f>[138]LAVAGEM!$D$16</f>
        <v>312</v>
      </c>
      <c r="C92" s="207">
        <f t="shared" si="0"/>
        <v>195</v>
      </c>
      <c r="D92" s="212">
        <f t="shared" si="40"/>
        <v>0</v>
      </c>
      <c r="E92" s="212">
        <f t="shared" si="38"/>
        <v>78.694158075601379</v>
      </c>
      <c r="F92" s="213">
        <f t="shared" si="39"/>
        <v>82.456140350877178</v>
      </c>
      <c r="G92" s="211">
        <f t="shared" si="34"/>
        <v>98.726114649681534</v>
      </c>
      <c r="H92" s="209">
        <f>+B$211/B92</f>
        <v>1.4947016777708637</v>
      </c>
    </row>
    <row r="93" spans="1:8" ht="15" hidden="1">
      <c r="A93" s="230" t="s">
        <v>198</v>
      </c>
      <c r="B93" s="231">
        <f>[139]LAVAGEM!$D$16</f>
        <v>312</v>
      </c>
      <c r="C93" s="207">
        <f t="shared" si="0"/>
        <v>195</v>
      </c>
      <c r="D93" s="212">
        <f t="shared" si="40"/>
        <v>0</v>
      </c>
      <c r="E93" s="212">
        <f t="shared" si="38"/>
        <v>78.694158075601379</v>
      </c>
      <c r="F93" s="213">
        <f t="shared" si="39"/>
        <v>75.280898876404507</v>
      </c>
      <c r="G93" s="211">
        <f t="shared" si="34"/>
        <v>98.726114649681534</v>
      </c>
      <c r="H93" s="209">
        <f>+B$211/B93</f>
        <v>1.4947016777708637</v>
      </c>
    </row>
    <row r="94" spans="1:8" ht="15" hidden="1">
      <c r="A94" s="230" t="s">
        <v>199</v>
      </c>
      <c r="B94" s="231">
        <f>[140]LAVAGEM!$D$16</f>
        <v>312</v>
      </c>
      <c r="C94" s="207">
        <f t="shared" si="0"/>
        <v>195</v>
      </c>
      <c r="D94" s="212">
        <f t="shared" si="40"/>
        <v>0</v>
      </c>
      <c r="E94" s="212">
        <f t="shared" si="38"/>
        <v>78.694158075601379</v>
      </c>
      <c r="F94" s="213">
        <f t="shared" si="39"/>
        <v>78.694158075601379</v>
      </c>
      <c r="G94" s="211">
        <f t="shared" si="34"/>
        <v>97.468354430379762</v>
      </c>
      <c r="H94" s="209">
        <f>+B$211/B94</f>
        <v>1.4947016777708637</v>
      </c>
    </row>
    <row r="95" spans="1:8" ht="16.5" customHeight="1">
      <c r="A95" s="232" t="s">
        <v>200</v>
      </c>
      <c r="B95" s="231">
        <f>[141]LAVAGEM!$D$16</f>
        <v>312</v>
      </c>
      <c r="C95" s="207">
        <f t="shared" si="0"/>
        <v>195</v>
      </c>
      <c r="D95" s="214">
        <f t="shared" si="40"/>
        <v>0</v>
      </c>
      <c r="E95" s="214">
        <f t="shared" ref="E95:E100" si="41">100*(B95/B$94-1)</f>
        <v>0</v>
      </c>
      <c r="F95" s="215">
        <f t="shared" si="39"/>
        <v>78.694158075601379</v>
      </c>
      <c r="G95" s="216">
        <f t="shared" si="34"/>
        <v>98.095238095238102</v>
      </c>
      <c r="H95" s="209">
        <f>+B$211/B95</f>
        <v>1.4947016777708637</v>
      </c>
    </row>
    <row r="96" spans="1:8" ht="16.5" customHeight="1">
      <c r="A96" s="232" t="s">
        <v>201</v>
      </c>
      <c r="B96" s="231">
        <f>[142]LAVAGEM!$D$16</f>
        <v>312</v>
      </c>
      <c r="C96" s="207">
        <f t="shared" si="0"/>
        <v>195</v>
      </c>
      <c r="D96" s="214">
        <f t="shared" ref="D96:D101" si="42">100*(B96/B95-1)</f>
        <v>0</v>
      </c>
      <c r="E96" s="214">
        <f t="shared" si="41"/>
        <v>0</v>
      </c>
      <c r="F96" s="215">
        <f t="shared" si="39"/>
        <v>32.994594963255985</v>
      </c>
      <c r="G96" s="216">
        <f t="shared" si="34"/>
        <v>95</v>
      </c>
      <c r="H96" s="209">
        <f>+B$211/B96</f>
        <v>1.4947016777708637</v>
      </c>
    </row>
    <row r="97" spans="1:8" ht="16.5" customHeight="1">
      <c r="A97" s="232" t="s">
        <v>202</v>
      </c>
      <c r="B97" s="231">
        <f>[143]LAVAGEM!$D$16</f>
        <v>312</v>
      </c>
      <c r="C97" s="207">
        <f t="shared" si="0"/>
        <v>195</v>
      </c>
      <c r="D97" s="214">
        <f t="shared" si="42"/>
        <v>0</v>
      </c>
      <c r="E97" s="214">
        <f t="shared" si="41"/>
        <v>0</v>
      </c>
      <c r="F97" s="215">
        <f t="shared" si="39"/>
        <v>1.1345218800648205</v>
      </c>
      <c r="G97" s="216">
        <f t="shared" si="34"/>
        <v>92</v>
      </c>
      <c r="H97" s="209">
        <f t="shared" ref="H97:H160" si="43">+B$211/B97</f>
        <v>1.4947016777708637</v>
      </c>
    </row>
    <row r="98" spans="1:8" ht="16.5" customHeight="1">
      <c r="A98" s="232" t="s">
        <v>203</v>
      </c>
      <c r="B98" s="231">
        <f>[144]LAVAGEM!$D$16</f>
        <v>312</v>
      </c>
      <c r="C98" s="207">
        <f t="shared" si="0"/>
        <v>195</v>
      </c>
      <c r="D98" s="214">
        <f t="shared" si="42"/>
        <v>0</v>
      </c>
      <c r="E98" s="214">
        <f t="shared" si="41"/>
        <v>0</v>
      </c>
      <c r="F98" s="215">
        <f t="shared" si="39"/>
        <v>1.1345218800648205</v>
      </c>
      <c r="G98" s="216">
        <f t="shared" si="34"/>
        <v>95</v>
      </c>
      <c r="H98" s="209">
        <f t="shared" si="43"/>
        <v>1.4947016777708637</v>
      </c>
    </row>
    <row r="99" spans="1:8" ht="16.5" customHeight="1">
      <c r="A99" s="232" t="s">
        <v>204</v>
      </c>
      <c r="B99" s="231">
        <f>[145]LAVAGEM!$D$16</f>
        <v>312</v>
      </c>
      <c r="C99" s="207">
        <f t="shared" si="0"/>
        <v>195</v>
      </c>
      <c r="D99" s="214">
        <f t="shared" si="42"/>
        <v>0</v>
      </c>
      <c r="E99" s="214">
        <f t="shared" si="41"/>
        <v>0</v>
      </c>
      <c r="F99" s="215">
        <f t="shared" si="39"/>
        <v>1.1345218800648205</v>
      </c>
      <c r="G99" s="216">
        <f t="shared" si="34"/>
        <v>92.592592592592581</v>
      </c>
      <c r="H99" s="209">
        <f t="shared" si="43"/>
        <v>1.4947016777708637</v>
      </c>
    </row>
    <row r="100" spans="1:8" ht="16.5" customHeight="1">
      <c r="A100" s="232" t="s">
        <v>205</v>
      </c>
      <c r="B100" s="231">
        <f>[146]LAVAGEM!$D$16</f>
        <v>312</v>
      </c>
      <c r="C100" s="207">
        <f t="shared" si="0"/>
        <v>195</v>
      </c>
      <c r="D100" s="214">
        <f t="shared" si="42"/>
        <v>0</v>
      </c>
      <c r="E100" s="214">
        <f t="shared" si="41"/>
        <v>0</v>
      </c>
      <c r="F100" s="215">
        <f t="shared" si="39"/>
        <v>1.1345218800648205</v>
      </c>
      <c r="G100" s="216">
        <f t="shared" si="34"/>
        <v>91.411042944785279</v>
      </c>
      <c r="H100" s="209">
        <f t="shared" si="43"/>
        <v>1.4947016777708637</v>
      </c>
    </row>
    <row r="101" spans="1:8" ht="16.5" customHeight="1">
      <c r="A101" s="232" t="s">
        <v>206</v>
      </c>
      <c r="B101" s="231">
        <f>[147]LAVAGEM!$D$16</f>
        <v>312</v>
      </c>
      <c r="C101" s="207">
        <f t="shared" si="0"/>
        <v>195</v>
      </c>
      <c r="D101" s="214">
        <f t="shared" si="42"/>
        <v>0</v>
      </c>
      <c r="E101" s="214">
        <f t="shared" ref="E101:E106" si="44">100*(B101/B$94-1)</f>
        <v>0</v>
      </c>
      <c r="F101" s="215">
        <f t="shared" ref="F101:F106" si="45">(100*(B101/B89-1))</f>
        <v>0</v>
      </c>
      <c r="G101" s="216">
        <f t="shared" ref="G101:G106" si="46">100*(B101/B77-1)</f>
        <v>90.243902439024382</v>
      </c>
      <c r="H101" s="209">
        <f t="shared" si="43"/>
        <v>1.4947016777708637</v>
      </c>
    </row>
    <row r="102" spans="1:8" ht="16.5" customHeight="1">
      <c r="A102" s="232" t="s">
        <v>207</v>
      </c>
      <c r="B102" s="231">
        <f>[148]LAVAGEM!$D$16</f>
        <v>315</v>
      </c>
      <c r="C102" s="207">
        <f t="shared" si="0"/>
        <v>196.875</v>
      </c>
      <c r="D102" s="214">
        <f t="shared" ref="D102:D107" si="47">100*(B102/B101-1)</f>
        <v>0.96153846153845812</v>
      </c>
      <c r="E102" s="214">
        <f t="shared" si="44"/>
        <v>0.96153846153845812</v>
      </c>
      <c r="F102" s="215">
        <f t="shared" si="45"/>
        <v>0.96153846153845812</v>
      </c>
      <c r="G102" s="216">
        <f t="shared" si="46"/>
        <v>87.5</v>
      </c>
      <c r="H102" s="209">
        <f t="shared" si="43"/>
        <v>1.4804664236968554</v>
      </c>
    </row>
    <row r="103" spans="1:8" ht="16.5" customHeight="1">
      <c r="A103" s="232" t="s">
        <v>208</v>
      </c>
      <c r="B103" s="231">
        <f>[149]LAVAGEM!$D$16</f>
        <v>315</v>
      </c>
      <c r="C103" s="207">
        <f t="shared" si="0"/>
        <v>196.875</v>
      </c>
      <c r="D103" s="214">
        <f t="shared" si="47"/>
        <v>0</v>
      </c>
      <c r="E103" s="214">
        <f t="shared" si="44"/>
        <v>0.96153846153845812</v>
      </c>
      <c r="F103" s="215">
        <f t="shared" si="45"/>
        <v>0.96153846153845812</v>
      </c>
      <c r="G103" s="216">
        <f t="shared" si="46"/>
        <v>86.832740213523138</v>
      </c>
      <c r="H103" s="209">
        <f t="shared" si="43"/>
        <v>1.4804664236968554</v>
      </c>
    </row>
    <row r="104" spans="1:8" ht="16.5" customHeight="1">
      <c r="A104" s="232" t="s">
        <v>209</v>
      </c>
      <c r="B104" s="231">
        <f>[150]LAVAGEM!$D$16</f>
        <v>315</v>
      </c>
      <c r="C104" s="207">
        <f t="shared" si="0"/>
        <v>196.875</v>
      </c>
      <c r="D104" s="214">
        <f t="shared" si="47"/>
        <v>0</v>
      </c>
      <c r="E104" s="214">
        <f t="shared" si="44"/>
        <v>0.96153846153845812</v>
      </c>
      <c r="F104" s="215">
        <f t="shared" si="45"/>
        <v>0.96153846153845812</v>
      </c>
      <c r="G104" s="216">
        <f t="shared" si="46"/>
        <v>84.210526315789465</v>
      </c>
      <c r="H104" s="209">
        <f t="shared" si="43"/>
        <v>1.4804664236968554</v>
      </c>
    </row>
    <row r="105" spans="1:8" ht="16.5" customHeight="1">
      <c r="A105" s="232" t="s">
        <v>210</v>
      </c>
      <c r="B105" s="231">
        <f>[151]LAVAGEM!$D$16</f>
        <v>315</v>
      </c>
      <c r="C105" s="207">
        <f t="shared" si="0"/>
        <v>196.875</v>
      </c>
      <c r="D105" s="214">
        <f t="shared" si="47"/>
        <v>0</v>
      </c>
      <c r="E105" s="214">
        <f t="shared" si="44"/>
        <v>0.96153846153845812</v>
      </c>
      <c r="F105" s="215">
        <f t="shared" si="45"/>
        <v>0.96153846153845812</v>
      </c>
      <c r="G105" s="216">
        <f t="shared" si="46"/>
        <v>76.966292134831463</v>
      </c>
      <c r="H105" s="209">
        <f t="shared" si="43"/>
        <v>1.4804664236968554</v>
      </c>
    </row>
    <row r="106" spans="1:8" ht="16.5" customHeight="1">
      <c r="A106" s="232" t="s">
        <v>211</v>
      </c>
      <c r="B106" s="231">
        <f>[152]LAVAGEM!$D$16</f>
        <v>315</v>
      </c>
      <c r="C106" s="207">
        <f t="shared" si="0"/>
        <v>196.875</v>
      </c>
      <c r="D106" s="214">
        <f t="shared" si="47"/>
        <v>0</v>
      </c>
      <c r="E106" s="214">
        <f t="shared" si="44"/>
        <v>0.96153846153845812</v>
      </c>
      <c r="F106" s="215">
        <f t="shared" si="45"/>
        <v>0.96153846153845812</v>
      </c>
      <c r="G106" s="216">
        <f t="shared" si="46"/>
        <v>80.412371134020617</v>
      </c>
      <c r="H106" s="209">
        <f t="shared" si="43"/>
        <v>1.4804664236968554</v>
      </c>
    </row>
    <row r="107" spans="1:8" ht="16.5" customHeight="1">
      <c r="A107" s="232" t="s">
        <v>212</v>
      </c>
      <c r="B107" s="231">
        <f>[153]LAVAGEM!$D$16</f>
        <v>321</v>
      </c>
      <c r="C107" s="207">
        <f t="shared" ref="C107:C112" si="48">100*B107/B$8</f>
        <v>200.625</v>
      </c>
      <c r="D107" s="214">
        <f t="shared" si="47"/>
        <v>1.904761904761898</v>
      </c>
      <c r="E107" s="214">
        <f t="shared" ref="E107:E112" si="49">100*(B107/B$106-1)</f>
        <v>1.904761904761898</v>
      </c>
      <c r="F107" s="215">
        <f t="shared" ref="F107:F112" si="50">(100*(B107/B95-1))</f>
        <v>2.8846153846153744</v>
      </c>
      <c r="G107" s="216">
        <f t="shared" ref="G107:G112" si="51">100*(B107/B83-1)</f>
        <v>83.848797250859121</v>
      </c>
      <c r="H107" s="209">
        <f t="shared" si="43"/>
        <v>1.4527941540950451</v>
      </c>
    </row>
    <row r="108" spans="1:8" ht="16.5" customHeight="1">
      <c r="A108" s="232" t="s">
        <v>213</v>
      </c>
      <c r="B108" s="231">
        <f>[154]LAVAGEM!$D$16</f>
        <v>321</v>
      </c>
      <c r="C108" s="207">
        <f t="shared" si="48"/>
        <v>200.625</v>
      </c>
      <c r="D108" s="214">
        <f t="shared" ref="D108:D113" si="52">100*(B108/B107-1)</f>
        <v>0</v>
      </c>
      <c r="E108" s="214">
        <f t="shared" si="49"/>
        <v>1.904761904761898</v>
      </c>
      <c r="F108" s="215">
        <f t="shared" si="50"/>
        <v>2.8846153846153744</v>
      </c>
      <c r="G108" s="216">
        <f t="shared" si="51"/>
        <v>36.83097751027298</v>
      </c>
      <c r="H108" s="209">
        <f t="shared" si="43"/>
        <v>1.4527941540950451</v>
      </c>
    </row>
    <row r="109" spans="1:8" ht="16.5" customHeight="1">
      <c r="A109" s="232" t="s">
        <v>214</v>
      </c>
      <c r="B109" s="231">
        <f>[155]LAVAGEM!$D$16</f>
        <v>321</v>
      </c>
      <c r="C109" s="207">
        <f t="shared" si="48"/>
        <v>200.625</v>
      </c>
      <c r="D109" s="214">
        <f t="shared" si="52"/>
        <v>0</v>
      </c>
      <c r="E109" s="214">
        <f t="shared" si="49"/>
        <v>1.904761904761898</v>
      </c>
      <c r="F109" s="215">
        <f t="shared" si="50"/>
        <v>2.8846153846153744</v>
      </c>
      <c r="G109" s="216">
        <f t="shared" si="51"/>
        <v>4.0518638573743937</v>
      </c>
      <c r="H109" s="209">
        <f t="shared" si="43"/>
        <v>1.4527941540950451</v>
      </c>
    </row>
    <row r="110" spans="1:8" ht="16.5" customHeight="1">
      <c r="A110" s="232" t="s">
        <v>215</v>
      </c>
      <c r="B110" s="231">
        <f>[156]LAVAGEM!$D$16</f>
        <v>321</v>
      </c>
      <c r="C110" s="207">
        <f t="shared" si="48"/>
        <v>200.625</v>
      </c>
      <c r="D110" s="214">
        <f t="shared" si="52"/>
        <v>0</v>
      </c>
      <c r="E110" s="214">
        <f t="shared" si="49"/>
        <v>1.904761904761898</v>
      </c>
      <c r="F110" s="215">
        <f t="shared" si="50"/>
        <v>2.8846153846153744</v>
      </c>
      <c r="G110" s="216">
        <f t="shared" si="51"/>
        <v>4.0518638573743937</v>
      </c>
      <c r="H110" s="209">
        <f t="shared" si="43"/>
        <v>1.4527941540950451</v>
      </c>
    </row>
    <row r="111" spans="1:8" ht="16.5" customHeight="1">
      <c r="A111" s="232" t="s">
        <v>216</v>
      </c>
      <c r="B111" s="231">
        <f>[157]LAVAGEM!$D$16</f>
        <v>321</v>
      </c>
      <c r="C111" s="207">
        <f t="shared" si="48"/>
        <v>200.625</v>
      </c>
      <c r="D111" s="214">
        <f t="shared" si="52"/>
        <v>0</v>
      </c>
      <c r="E111" s="214">
        <f t="shared" si="49"/>
        <v>1.904761904761898</v>
      </c>
      <c r="F111" s="215">
        <f t="shared" si="50"/>
        <v>2.8846153846153744</v>
      </c>
      <c r="G111" s="216">
        <f t="shared" si="51"/>
        <v>4.0518638573743937</v>
      </c>
      <c r="H111" s="209">
        <f t="shared" si="43"/>
        <v>1.4527941540950451</v>
      </c>
    </row>
    <row r="112" spans="1:8" ht="16.5" customHeight="1">
      <c r="A112" s="232" t="s">
        <v>217</v>
      </c>
      <c r="B112" s="231">
        <f>[158]LAVAGEM!$D$16</f>
        <v>321</v>
      </c>
      <c r="C112" s="207">
        <f t="shared" si="48"/>
        <v>200.625</v>
      </c>
      <c r="D112" s="214">
        <f t="shared" si="52"/>
        <v>0</v>
      </c>
      <c r="E112" s="214">
        <f t="shared" si="49"/>
        <v>1.904761904761898</v>
      </c>
      <c r="F112" s="215">
        <f t="shared" si="50"/>
        <v>2.8846153846153744</v>
      </c>
      <c r="G112" s="216">
        <f t="shared" si="51"/>
        <v>4.0518638573743937</v>
      </c>
      <c r="H112" s="209">
        <f t="shared" si="43"/>
        <v>1.4527941540950451</v>
      </c>
    </row>
    <row r="113" spans="1:8" ht="16.5" customHeight="1">
      <c r="A113" s="232" t="s">
        <v>218</v>
      </c>
      <c r="B113" s="231">
        <f>[159]LAVAGEM!$D$16</f>
        <v>326</v>
      </c>
      <c r="C113" s="207">
        <f t="shared" ref="C113:C118" si="53">100*B113/B$8</f>
        <v>203.75</v>
      </c>
      <c r="D113" s="214">
        <f t="shared" si="52"/>
        <v>1.5576323987538832</v>
      </c>
      <c r="E113" s="214">
        <f t="shared" ref="E113:E118" si="54">100*(B113/B$106-1)</f>
        <v>3.4920634920635019</v>
      </c>
      <c r="F113" s="215">
        <f t="shared" ref="F113:F118" si="55">(100*(B113/B101-1))</f>
        <v>4.4871794871794934</v>
      </c>
      <c r="G113" s="216">
        <f t="shared" ref="G113:G118" si="56">100*(B113/B89-1)</f>
        <v>4.4871794871794934</v>
      </c>
      <c r="H113" s="209">
        <f t="shared" si="43"/>
        <v>1.4305120351672069</v>
      </c>
    </row>
    <row r="114" spans="1:8" ht="16.5" customHeight="1">
      <c r="A114" s="232" t="s">
        <v>219</v>
      </c>
      <c r="B114" s="231">
        <f>[160]LAVAGEM!$D$16</f>
        <v>326</v>
      </c>
      <c r="C114" s="207">
        <f t="shared" si="53"/>
        <v>203.75</v>
      </c>
      <c r="D114" s="214">
        <f t="shared" ref="D114:D119" si="57">100*(B114/B113-1)</f>
        <v>0</v>
      </c>
      <c r="E114" s="214">
        <f t="shared" si="54"/>
        <v>3.4920634920635019</v>
      </c>
      <c r="F114" s="215">
        <f t="shared" si="55"/>
        <v>3.4920634920635019</v>
      </c>
      <c r="G114" s="216">
        <f t="shared" si="56"/>
        <v>4.4871794871794934</v>
      </c>
      <c r="H114" s="209">
        <f t="shared" si="43"/>
        <v>1.4305120351672069</v>
      </c>
    </row>
    <row r="115" spans="1:8" ht="16.5" customHeight="1">
      <c r="A115" s="232" t="s">
        <v>220</v>
      </c>
      <c r="B115" s="231">
        <f>[161]LAVAGEM!$D$16</f>
        <v>326</v>
      </c>
      <c r="C115" s="207">
        <f t="shared" si="53"/>
        <v>203.75</v>
      </c>
      <c r="D115" s="214">
        <f t="shared" si="57"/>
        <v>0</v>
      </c>
      <c r="E115" s="214">
        <f t="shared" si="54"/>
        <v>3.4920634920635019</v>
      </c>
      <c r="F115" s="215">
        <f t="shared" si="55"/>
        <v>3.4920634920635019</v>
      </c>
      <c r="G115" s="216">
        <f t="shared" si="56"/>
        <v>4.4871794871794934</v>
      </c>
      <c r="H115" s="209">
        <f t="shared" si="43"/>
        <v>1.4305120351672069</v>
      </c>
    </row>
    <row r="116" spans="1:8" ht="16.5" customHeight="1">
      <c r="A116" s="232" t="s">
        <v>221</v>
      </c>
      <c r="B116" s="231">
        <f>[162]LAVAGEM!$D$16</f>
        <v>326</v>
      </c>
      <c r="C116" s="207">
        <f t="shared" si="53"/>
        <v>203.75</v>
      </c>
      <c r="D116" s="214">
        <f t="shared" si="57"/>
        <v>0</v>
      </c>
      <c r="E116" s="214">
        <f t="shared" si="54"/>
        <v>3.4920634920635019</v>
      </c>
      <c r="F116" s="215">
        <f t="shared" si="55"/>
        <v>3.4920634920635019</v>
      </c>
      <c r="G116" s="216">
        <f t="shared" si="56"/>
        <v>4.4871794871794934</v>
      </c>
      <c r="H116" s="209">
        <f t="shared" si="43"/>
        <v>1.4305120351672069</v>
      </c>
    </row>
    <row r="117" spans="1:8" ht="16.5" customHeight="1">
      <c r="A117" s="232" t="s">
        <v>222</v>
      </c>
      <c r="B117" s="231">
        <f>[163]LAVAGEM!$D$16</f>
        <v>326</v>
      </c>
      <c r="C117" s="207">
        <f t="shared" si="53"/>
        <v>203.75</v>
      </c>
      <c r="D117" s="214">
        <f t="shared" si="57"/>
        <v>0</v>
      </c>
      <c r="E117" s="214">
        <f t="shared" si="54"/>
        <v>3.4920634920635019</v>
      </c>
      <c r="F117" s="215">
        <f t="shared" si="55"/>
        <v>3.4920634920635019</v>
      </c>
      <c r="G117" s="216">
        <f t="shared" si="56"/>
        <v>4.4871794871794934</v>
      </c>
      <c r="H117" s="209">
        <f t="shared" si="43"/>
        <v>1.4305120351672069</v>
      </c>
    </row>
    <row r="118" spans="1:8" ht="16.5" customHeight="1">
      <c r="A118" s="232" t="s">
        <v>223</v>
      </c>
      <c r="B118" s="231">
        <f>[164]LAVAGEM!$D$16</f>
        <v>326</v>
      </c>
      <c r="C118" s="207">
        <f t="shared" si="53"/>
        <v>203.75</v>
      </c>
      <c r="D118" s="214">
        <f t="shared" si="57"/>
        <v>0</v>
      </c>
      <c r="E118" s="214">
        <f t="shared" si="54"/>
        <v>3.4920634920635019</v>
      </c>
      <c r="F118" s="215">
        <f t="shared" si="55"/>
        <v>3.4920634920635019</v>
      </c>
      <c r="G118" s="216">
        <f t="shared" si="56"/>
        <v>4.4871794871794934</v>
      </c>
      <c r="H118" s="209">
        <f t="shared" si="43"/>
        <v>1.4305120351672069</v>
      </c>
    </row>
    <row r="119" spans="1:8" ht="16.5" customHeight="1">
      <c r="A119" s="232" t="s">
        <v>224</v>
      </c>
      <c r="B119" s="231">
        <f>[165]LAVAGEM!$D$16</f>
        <v>326</v>
      </c>
      <c r="C119" s="207">
        <f t="shared" ref="C119:C124" si="58">100*B119/B$8</f>
        <v>203.75</v>
      </c>
      <c r="D119" s="214">
        <f t="shared" si="57"/>
        <v>0</v>
      </c>
      <c r="E119" s="214">
        <f t="shared" ref="E119:E124" si="59">100*(B119/B$118-1)</f>
        <v>0</v>
      </c>
      <c r="F119" s="215">
        <f t="shared" ref="F119:F124" si="60">(100*(B119/B107-1))</f>
        <v>1.5576323987538832</v>
      </c>
      <c r="G119" s="216">
        <f t="shared" ref="G119:G124" si="61">100*(B119/B95-1)</f>
        <v>4.4871794871794934</v>
      </c>
      <c r="H119" s="209">
        <f t="shared" si="43"/>
        <v>1.4305120351672069</v>
      </c>
    </row>
    <row r="120" spans="1:8" ht="16.5" customHeight="1">
      <c r="A120" s="232" t="s">
        <v>225</v>
      </c>
      <c r="B120" s="231">
        <f>[166]LAVAGEM!$D$16</f>
        <v>326</v>
      </c>
      <c r="C120" s="207">
        <f t="shared" si="58"/>
        <v>203.75</v>
      </c>
      <c r="D120" s="214">
        <f t="shared" ref="D120:D125" si="62">100*(B120/B119-1)</f>
        <v>0</v>
      </c>
      <c r="E120" s="214">
        <f t="shared" si="59"/>
        <v>0</v>
      </c>
      <c r="F120" s="215">
        <f t="shared" si="60"/>
        <v>1.5576323987538832</v>
      </c>
      <c r="G120" s="216">
        <f t="shared" si="61"/>
        <v>4.4871794871794934</v>
      </c>
      <c r="H120" s="209">
        <f t="shared" si="43"/>
        <v>1.4305120351672069</v>
      </c>
    </row>
    <row r="121" spans="1:8" ht="16.5" customHeight="1">
      <c r="A121" s="232" t="s">
        <v>226</v>
      </c>
      <c r="B121" s="231">
        <f>[167]LAVAGEM!$D$16</f>
        <v>326</v>
      </c>
      <c r="C121" s="207">
        <f t="shared" si="58"/>
        <v>203.75</v>
      </c>
      <c r="D121" s="214">
        <f t="shared" si="62"/>
        <v>0</v>
      </c>
      <c r="E121" s="214">
        <f t="shared" si="59"/>
        <v>0</v>
      </c>
      <c r="F121" s="215">
        <f t="shared" si="60"/>
        <v>1.5576323987538832</v>
      </c>
      <c r="G121" s="216">
        <f t="shared" si="61"/>
        <v>4.4871794871794934</v>
      </c>
      <c r="H121" s="209">
        <f t="shared" si="43"/>
        <v>1.4305120351672069</v>
      </c>
    </row>
    <row r="122" spans="1:8" ht="16.5" customHeight="1">
      <c r="A122" s="232" t="s">
        <v>227</v>
      </c>
      <c r="B122" s="231">
        <f>[168]LAVAGEM!$D$16</f>
        <v>330</v>
      </c>
      <c r="C122" s="207">
        <f t="shared" si="58"/>
        <v>206.25</v>
      </c>
      <c r="D122" s="214">
        <f t="shared" si="62"/>
        <v>1.2269938650306678</v>
      </c>
      <c r="E122" s="214">
        <f t="shared" si="59"/>
        <v>1.2269938650306678</v>
      </c>
      <c r="F122" s="215">
        <f t="shared" si="60"/>
        <v>2.8037383177569986</v>
      </c>
      <c r="G122" s="216">
        <f t="shared" si="61"/>
        <v>5.7692307692307709</v>
      </c>
      <c r="H122" s="209">
        <f t="shared" si="43"/>
        <v>1.4131724953469984</v>
      </c>
    </row>
    <row r="123" spans="1:8" ht="16.5" customHeight="1">
      <c r="A123" s="232" t="s">
        <v>228</v>
      </c>
      <c r="B123" s="231">
        <f>[169]LAVAGEM!$D$16</f>
        <v>330</v>
      </c>
      <c r="C123" s="207">
        <f t="shared" si="58"/>
        <v>206.25</v>
      </c>
      <c r="D123" s="214">
        <f t="shared" si="62"/>
        <v>0</v>
      </c>
      <c r="E123" s="214">
        <f t="shared" si="59"/>
        <v>1.2269938650306678</v>
      </c>
      <c r="F123" s="215">
        <f t="shared" si="60"/>
        <v>2.8037383177569986</v>
      </c>
      <c r="G123" s="216">
        <f t="shared" si="61"/>
        <v>5.7692307692307709</v>
      </c>
      <c r="H123" s="209">
        <f t="shared" si="43"/>
        <v>1.4131724953469984</v>
      </c>
    </row>
    <row r="124" spans="1:8" ht="16.5" customHeight="1">
      <c r="A124" s="232" t="s">
        <v>229</v>
      </c>
      <c r="B124" s="231">
        <f>[170]LAVAGEM!$D$16</f>
        <v>330</v>
      </c>
      <c r="C124" s="207">
        <f t="shared" si="58"/>
        <v>206.25</v>
      </c>
      <c r="D124" s="214">
        <f t="shared" si="62"/>
        <v>0</v>
      </c>
      <c r="E124" s="214">
        <f t="shared" si="59"/>
        <v>1.2269938650306678</v>
      </c>
      <c r="F124" s="215">
        <f t="shared" si="60"/>
        <v>2.8037383177569986</v>
      </c>
      <c r="G124" s="216">
        <f t="shared" si="61"/>
        <v>5.7692307692307709</v>
      </c>
      <c r="H124" s="209">
        <f t="shared" si="43"/>
        <v>1.4131724953469984</v>
      </c>
    </row>
    <row r="125" spans="1:8" ht="16.5" customHeight="1">
      <c r="A125" s="232" t="s">
        <v>230</v>
      </c>
      <c r="B125" s="231">
        <f>[171]LAVAGEM!$D$16</f>
        <v>330</v>
      </c>
      <c r="C125" s="207">
        <f t="shared" ref="C125:C131" si="63">100*B125/B$8</f>
        <v>206.25</v>
      </c>
      <c r="D125" s="214">
        <f t="shared" si="62"/>
        <v>0</v>
      </c>
      <c r="E125" s="214">
        <f t="shared" ref="E125:E130" si="64">100*(B125/B$118-1)</f>
        <v>1.2269938650306678</v>
      </c>
      <c r="F125" s="215">
        <f t="shared" ref="F125:F130" si="65">(100*(B125/B113-1))</f>
        <v>1.2269938650306678</v>
      </c>
      <c r="G125" s="216">
        <f t="shared" ref="G125:G130" si="66">100*(B125/B101-1)</f>
        <v>5.7692307692307709</v>
      </c>
      <c r="H125" s="209">
        <f t="shared" si="43"/>
        <v>1.4131724953469984</v>
      </c>
    </row>
    <row r="126" spans="1:8" ht="16.5" customHeight="1">
      <c r="A126" s="232" t="s">
        <v>231</v>
      </c>
      <c r="B126" s="233">
        <f>[172]LAVAGEM!$D$16</f>
        <v>330</v>
      </c>
      <c r="C126" s="207">
        <f t="shared" si="63"/>
        <v>206.25</v>
      </c>
      <c r="D126" s="214">
        <f t="shared" ref="D126:D131" si="67">100*(B126/B125-1)</f>
        <v>0</v>
      </c>
      <c r="E126" s="214">
        <f t="shared" si="64"/>
        <v>1.2269938650306678</v>
      </c>
      <c r="F126" s="215">
        <f t="shared" si="65"/>
        <v>1.2269938650306678</v>
      </c>
      <c r="G126" s="216">
        <f t="shared" si="66"/>
        <v>4.7619047619047672</v>
      </c>
      <c r="H126" s="209">
        <f t="shared" si="43"/>
        <v>1.4131724953469984</v>
      </c>
    </row>
    <row r="127" spans="1:8" ht="16.5" customHeight="1">
      <c r="A127" s="232" t="s">
        <v>232</v>
      </c>
      <c r="B127" s="233">
        <f>[173]LAVAGEM!$D$16</f>
        <v>330</v>
      </c>
      <c r="C127" s="207">
        <f t="shared" si="63"/>
        <v>206.25</v>
      </c>
      <c r="D127" s="214">
        <f t="shared" si="67"/>
        <v>0</v>
      </c>
      <c r="E127" s="214">
        <f t="shared" si="64"/>
        <v>1.2269938650306678</v>
      </c>
      <c r="F127" s="215">
        <f t="shared" si="65"/>
        <v>1.2269938650306678</v>
      </c>
      <c r="G127" s="216">
        <f t="shared" si="66"/>
        <v>4.7619047619047672</v>
      </c>
      <c r="H127" s="209">
        <f t="shared" si="43"/>
        <v>1.4131724953469984</v>
      </c>
    </row>
    <row r="128" spans="1:8" ht="16.5" customHeight="1">
      <c r="A128" s="232" t="s">
        <v>233</v>
      </c>
      <c r="B128" s="233">
        <f>[174]LAVAGEM!$D$16</f>
        <v>330</v>
      </c>
      <c r="C128" s="207">
        <f t="shared" si="63"/>
        <v>206.25</v>
      </c>
      <c r="D128" s="214">
        <f t="shared" si="67"/>
        <v>0</v>
      </c>
      <c r="E128" s="214">
        <f t="shared" si="64"/>
        <v>1.2269938650306678</v>
      </c>
      <c r="F128" s="215">
        <f t="shared" si="65"/>
        <v>1.2269938650306678</v>
      </c>
      <c r="G128" s="216">
        <f t="shared" si="66"/>
        <v>4.7619047619047672</v>
      </c>
      <c r="H128" s="209">
        <f t="shared" si="43"/>
        <v>1.4131724953469984</v>
      </c>
    </row>
    <row r="129" spans="1:8" ht="16.5" customHeight="1">
      <c r="A129" s="232" t="s">
        <v>234</v>
      </c>
      <c r="B129" s="233">
        <f>[175]LAVAGEM!$D$16</f>
        <v>330</v>
      </c>
      <c r="C129" s="207">
        <f t="shared" si="63"/>
        <v>206.25</v>
      </c>
      <c r="D129" s="214">
        <f t="shared" si="67"/>
        <v>0</v>
      </c>
      <c r="E129" s="214">
        <f t="shared" si="64"/>
        <v>1.2269938650306678</v>
      </c>
      <c r="F129" s="215">
        <f t="shared" si="65"/>
        <v>1.2269938650306678</v>
      </c>
      <c r="G129" s="216">
        <f t="shared" si="66"/>
        <v>4.7619047619047672</v>
      </c>
      <c r="H129" s="209">
        <f t="shared" si="43"/>
        <v>1.4131724953469984</v>
      </c>
    </row>
    <row r="130" spans="1:8" ht="16.5" customHeight="1">
      <c r="A130" s="232" t="s">
        <v>235</v>
      </c>
      <c r="B130" s="233">
        <f>[176]LAVAGEM!$D$16</f>
        <v>330</v>
      </c>
      <c r="C130" s="207">
        <f t="shared" si="63"/>
        <v>206.25</v>
      </c>
      <c r="D130" s="214">
        <f t="shared" si="67"/>
        <v>0</v>
      </c>
      <c r="E130" s="214">
        <f t="shared" si="64"/>
        <v>1.2269938650306678</v>
      </c>
      <c r="F130" s="215">
        <f t="shared" si="65"/>
        <v>1.2269938650306678</v>
      </c>
      <c r="G130" s="216">
        <f t="shared" si="66"/>
        <v>4.7619047619047672</v>
      </c>
      <c r="H130" s="209">
        <f t="shared" si="43"/>
        <v>1.4131724953469984</v>
      </c>
    </row>
    <row r="131" spans="1:8" ht="16.5" customHeight="1">
      <c r="A131" s="232" t="s">
        <v>236</v>
      </c>
      <c r="B131" s="233">
        <f>[177]LAVAGEM!$D$16</f>
        <v>330</v>
      </c>
      <c r="C131" s="207">
        <f t="shared" si="63"/>
        <v>206.25</v>
      </c>
      <c r="D131" s="214">
        <f t="shared" si="67"/>
        <v>0</v>
      </c>
      <c r="E131" s="214">
        <f t="shared" ref="E131:E136" si="68">100*(B131/B$130-1)</f>
        <v>0</v>
      </c>
      <c r="F131" s="215">
        <f t="shared" ref="F131:F136" si="69">(100*(B131/B119-1))</f>
        <v>1.2269938650306678</v>
      </c>
      <c r="G131" s="216">
        <f t="shared" ref="G131:G136" si="70">100*(B131/B107-1)</f>
        <v>2.8037383177569986</v>
      </c>
      <c r="H131" s="209">
        <f t="shared" si="43"/>
        <v>1.4131724953469984</v>
      </c>
    </row>
    <row r="132" spans="1:8" ht="16.5" customHeight="1">
      <c r="A132" s="232" t="s">
        <v>237</v>
      </c>
      <c r="B132" s="233">
        <f>[178]LAVAGEM!$D$16</f>
        <v>327.99799999999999</v>
      </c>
      <c r="C132" s="207">
        <f t="shared" ref="C132:C137" si="71">100*B132/B$8</f>
        <v>204.99874999999997</v>
      </c>
      <c r="D132" s="214">
        <f t="shared" ref="D132:D137" si="72">100*(B132/B131-1)</f>
        <v>-0.60666666666666647</v>
      </c>
      <c r="E132" s="214">
        <f t="shared" si="68"/>
        <v>-0.60666666666666647</v>
      </c>
      <c r="F132" s="215">
        <f t="shared" si="69"/>
        <v>0.61288343558281166</v>
      </c>
      <c r="G132" s="216">
        <f t="shared" si="70"/>
        <v>2.1800623052959489</v>
      </c>
      <c r="H132" s="209">
        <f t="shared" si="43"/>
        <v>1.42179807030686</v>
      </c>
    </row>
    <row r="133" spans="1:8" ht="16.5" customHeight="1">
      <c r="A133" s="232" t="s">
        <v>238</v>
      </c>
      <c r="B133" s="233">
        <f>[179]LAVAGEM!$D$16</f>
        <v>327.99799999999999</v>
      </c>
      <c r="C133" s="207">
        <f t="shared" si="71"/>
        <v>204.99874999999997</v>
      </c>
      <c r="D133" s="214">
        <f t="shared" si="72"/>
        <v>0</v>
      </c>
      <c r="E133" s="214">
        <f t="shared" si="68"/>
        <v>-0.60666666666666647</v>
      </c>
      <c r="F133" s="215">
        <f t="shared" si="69"/>
        <v>0.61288343558281166</v>
      </c>
      <c r="G133" s="216">
        <f t="shared" si="70"/>
        <v>2.1800623052959489</v>
      </c>
      <c r="H133" s="209">
        <f t="shared" si="43"/>
        <v>1.42179807030686</v>
      </c>
    </row>
    <row r="134" spans="1:8" ht="16.5" customHeight="1">
      <c r="A134" s="232" t="s">
        <v>239</v>
      </c>
      <c r="B134" s="233">
        <f>[180]LAVAGEM!$D$16</f>
        <v>327.99799999999999</v>
      </c>
      <c r="C134" s="207">
        <f t="shared" si="71"/>
        <v>204.99874999999997</v>
      </c>
      <c r="D134" s="214">
        <f t="shared" si="72"/>
        <v>0</v>
      </c>
      <c r="E134" s="214">
        <f t="shared" si="68"/>
        <v>-0.60666666666666647</v>
      </c>
      <c r="F134" s="215">
        <f t="shared" si="69"/>
        <v>-0.60666666666666647</v>
      </c>
      <c r="G134" s="216">
        <f t="shared" si="70"/>
        <v>2.1800623052959489</v>
      </c>
      <c r="H134" s="209">
        <f t="shared" si="43"/>
        <v>1.42179807030686</v>
      </c>
    </row>
    <row r="135" spans="1:8" ht="16.5" customHeight="1">
      <c r="A135" s="232" t="s">
        <v>240</v>
      </c>
      <c r="B135" s="233">
        <f>[181]LAVAGEM!$D$16</f>
        <v>333.798</v>
      </c>
      <c r="C135" s="207">
        <f t="shared" si="71"/>
        <v>208.62375000000003</v>
      </c>
      <c r="D135" s="214">
        <f t="shared" si="72"/>
        <v>1.768303465265042</v>
      </c>
      <c r="E135" s="214">
        <f t="shared" si="68"/>
        <v>1.1509090909090913</v>
      </c>
      <c r="F135" s="215">
        <f t="shared" si="69"/>
        <v>1.1509090909090913</v>
      </c>
      <c r="G135" s="216">
        <f t="shared" si="70"/>
        <v>3.9869158878504729</v>
      </c>
      <c r="H135" s="209">
        <f t="shared" si="43"/>
        <v>1.397093222441445</v>
      </c>
    </row>
    <row r="136" spans="1:8" ht="16.5" customHeight="1">
      <c r="A136" s="232" t="s">
        <v>241</v>
      </c>
      <c r="B136" s="233">
        <f>[182]LAVAGEM!$D$16</f>
        <v>333.97799999999995</v>
      </c>
      <c r="C136" s="207">
        <f t="shared" si="71"/>
        <v>208.73624999999998</v>
      </c>
      <c r="D136" s="214">
        <f t="shared" si="72"/>
        <v>5.3924828788654011E-2</v>
      </c>
      <c r="E136" s="214">
        <f t="shared" si="68"/>
        <v>1.2054545454545318</v>
      </c>
      <c r="F136" s="215">
        <f t="shared" si="69"/>
        <v>1.2054545454545318</v>
      </c>
      <c r="G136" s="216">
        <f t="shared" si="70"/>
        <v>4.0429906542055916</v>
      </c>
      <c r="H136" s="209">
        <f t="shared" si="43"/>
        <v>1.3963402483532135</v>
      </c>
    </row>
    <row r="137" spans="1:8" ht="16.5" customHeight="1">
      <c r="A137" s="232" t="s">
        <v>242</v>
      </c>
      <c r="B137" s="233">
        <f>[183]LAVAGEM!$D$16</f>
        <v>333.97799999999995</v>
      </c>
      <c r="C137" s="207">
        <f t="shared" si="71"/>
        <v>208.73624999999998</v>
      </c>
      <c r="D137" s="214">
        <f t="shared" si="72"/>
        <v>0</v>
      </c>
      <c r="E137" s="214">
        <f t="shared" ref="E137:E142" si="73">100*(B137/B$130-1)</f>
        <v>1.2054545454545318</v>
      </c>
      <c r="F137" s="215">
        <f t="shared" ref="F137:F142" si="74">(100*(B137/B125-1))</f>
        <v>1.2054545454545318</v>
      </c>
      <c r="G137" s="216">
        <f t="shared" ref="G137:G142" si="75">100*(B137/B113-1)</f>
        <v>2.4472392638036577</v>
      </c>
      <c r="H137" s="209">
        <f t="shared" si="43"/>
        <v>1.3963402483532135</v>
      </c>
    </row>
    <row r="138" spans="1:8" ht="16.5" customHeight="1">
      <c r="A138" s="232" t="s">
        <v>243</v>
      </c>
      <c r="B138" s="233">
        <f>[184]LAVAGEM!$D$16</f>
        <v>333.97799999999995</v>
      </c>
      <c r="C138" s="207">
        <f t="shared" ref="C138:C143" si="76">100*B138/B$8</f>
        <v>208.73624999999998</v>
      </c>
      <c r="D138" s="214">
        <f t="shared" ref="D138:D143" si="77">100*(B138/B137-1)</f>
        <v>0</v>
      </c>
      <c r="E138" s="214">
        <f t="shared" si="73"/>
        <v>1.2054545454545318</v>
      </c>
      <c r="F138" s="215">
        <f t="shared" si="74"/>
        <v>1.2054545454545318</v>
      </c>
      <c r="G138" s="216">
        <f t="shared" si="75"/>
        <v>2.4472392638036577</v>
      </c>
      <c r="H138" s="209">
        <f t="shared" si="43"/>
        <v>1.3963402483532135</v>
      </c>
    </row>
    <row r="139" spans="1:8" ht="16.5" customHeight="1">
      <c r="A139" s="232" t="s">
        <v>244</v>
      </c>
      <c r="B139" s="233">
        <f>[185]LAVAGEM!$D$16</f>
        <v>333.97799999999995</v>
      </c>
      <c r="C139" s="207">
        <f t="shared" si="76"/>
        <v>208.73624999999998</v>
      </c>
      <c r="D139" s="214">
        <f t="shared" si="77"/>
        <v>0</v>
      </c>
      <c r="E139" s="214">
        <f t="shared" si="73"/>
        <v>1.2054545454545318</v>
      </c>
      <c r="F139" s="215">
        <f t="shared" si="74"/>
        <v>1.2054545454545318</v>
      </c>
      <c r="G139" s="216">
        <f t="shared" si="75"/>
        <v>2.4472392638036577</v>
      </c>
      <c r="H139" s="209">
        <f t="shared" si="43"/>
        <v>1.3963402483532135</v>
      </c>
    </row>
    <row r="140" spans="1:8" ht="16.5" customHeight="1">
      <c r="A140" s="232" t="s">
        <v>245</v>
      </c>
      <c r="B140" s="233">
        <f>[186]LAVAGEM!$D$16</f>
        <v>342.93799999999999</v>
      </c>
      <c r="C140" s="207">
        <f t="shared" si="76"/>
        <v>214.33624999999998</v>
      </c>
      <c r="D140" s="214">
        <f t="shared" si="77"/>
        <v>2.6828114426698857</v>
      </c>
      <c r="E140" s="214">
        <f t="shared" si="73"/>
        <v>3.9206060606060467</v>
      </c>
      <c r="F140" s="215">
        <f t="shared" si="74"/>
        <v>3.9206060606060467</v>
      </c>
      <c r="G140" s="216">
        <f t="shared" si="75"/>
        <v>5.1957055214723935</v>
      </c>
      <c r="H140" s="209">
        <f t="shared" si="43"/>
        <v>1.359857826967293</v>
      </c>
    </row>
    <row r="141" spans="1:8" ht="16.5" customHeight="1">
      <c r="A141" s="232" t="s">
        <v>246</v>
      </c>
      <c r="B141" s="233">
        <f>[187]LAVAGEM!$D$16</f>
        <v>342.93799999999999</v>
      </c>
      <c r="C141" s="207">
        <f t="shared" si="76"/>
        <v>214.33624999999998</v>
      </c>
      <c r="D141" s="214">
        <f t="shared" si="77"/>
        <v>0</v>
      </c>
      <c r="E141" s="214">
        <f t="shared" si="73"/>
        <v>3.9206060606060467</v>
      </c>
      <c r="F141" s="215">
        <f t="shared" si="74"/>
        <v>3.9206060606060467</v>
      </c>
      <c r="G141" s="216">
        <f t="shared" si="75"/>
        <v>5.1957055214723935</v>
      </c>
      <c r="H141" s="209">
        <f t="shared" si="43"/>
        <v>1.359857826967293</v>
      </c>
    </row>
    <row r="142" spans="1:8" ht="16.5" customHeight="1">
      <c r="A142" s="232" t="s">
        <v>247</v>
      </c>
      <c r="B142" s="233">
        <f>[188]LAVAGEM!$D$16</f>
        <v>342.93799999999999</v>
      </c>
      <c r="C142" s="207">
        <f t="shared" si="76"/>
        <v>214.33624999999998</v>
      </c>
      <c r="D142" s="214">
        <f t="shared" si="77"/>
        <v>0</v>
      </c>
      <c r="E142" s="214">
        <f t="shared" si="73"/>
        <v>3.9206060606060467</v>
      </c>
      <c r="F142" s="215">
        <f t="shared" si="74"/>
        <v>3.9206060606060467</v>
      </c>
      <c r="G142" s="216">
        <f t="shared" si="75"/>
        <v>5.1957055214723935</v>
      </c>
      <c r="H142" s="209">
        <f t="shared" si="43"/>
        <v>1.359857826967293</v>
      </c>
    </row>
    <row r="143" spans="1:8" ht="16.5" customHeight="1">
      <c r="A143" s="232" t="s">
        <v>248</v>
      </c>
      <c r="B143" s="233">
        <f>[189]LAVAGEM!$D$16</f>
        <v>342.93799999999999</v>
      </c>
      <c r="C143" s="207">
        <f t="shared" si="76"/>
        <v>214.33624999999998</v>
      </c>
      <c r="D143" s="214">
        <f t="shared" si="77"/>
        <v>0</v>
      </c>
      <c r="E143" s="214">
        <f t="shared" ref="E143:E148" si="78">100*(B143/B$142-1)</f>
        <v>0</v>
      </c>
      <c r="F143" s="215">
        <f t="shared" ref="F143:F148" si="79">(100*(B143/B131-1))</f>
        <v>3.9206060606060467</v>
      </c>
      <c r="G143" s="216">
        <f t="shared" ref="G143:G148" si="80">100*(B143/B119-1)</f>
        <v>5.1957055214723935</v>
      </c>
      <c r="H143" s="209">
        <f t="shared" si="43"/>
        <v>1.359857826967293</v>
      </c>
    </row>
    <row r="144" spans="1:8" ht="16.5" customHeight="1">
      <c r="A144" s="234" t="s">
        <v>249</v>
      </c>
      <c r="B144" s="233">
        <f>[190]LAVAGEM!$D$16</f>
        <v>342.93799999999999</v>
      </c>
      <c r="C144" s="207">
        <f t="shared" ref="C144:C150" si="81">100*B144/B$8</f>
        <v>214.33624999999998</v>
      </c>
      <c r="D144" s="214">
        <f t="shared" ref="D144:D149" si="82">100*(B144/B143-1)</f>
        <v>0</v>
      </c>
      <c r="E144" s="214">
        <f t="shared" si="78"/>
        <v>0</v>
      </c>
      <c r="F144" s="215">
        <f t="shared" si="79"/>
        <v>4.5549058225964778</v>
      </c>
      <c r="G144" s="216">
        <f t="shared" si="80"/>
        <v>5.1957055214723935</v>
      </c>
      <c r="H144" s="209">
        <f t="shared" si="43"/>
        <v>1.359857826967293</v>
      </c>
    </row>
    <row r="145" spans="1:8" ht="16.5" customHeight="1">
      <c r="A145" s="234" t="s">
        <v>250</v>
      </c>
      <c r="B145" s="233">
        <f>[191]LAVAGEM!$D$16</f>
        <v>342.93799999999999</v>
      </c>
      <c r="C145" s="207">
        <f t="shared" si="81"/>
        <v>214.33624999999998</v>
      </c>
      <c r="D145" s="214">
        <f t="shared" si="82"/>
        <v>0</v>
      </c>
      <c r="E145" s="214">
        <f t="shared" si="78"/>
        <v>0</v>
      </c>
      <c r="F145" s="215">
        <f t="shared" si="79"/>
        <v>4.5549058225964778</v>
      </c>
      <c r="G145" s="216">
        <f t="shared" si="80"/>
        <v>5.1957055214723935</v>
      </c>
      <c r="H145" s="209">
        <f t="shared" si="43"/>
        <v>1.359857826967293</v>
      </c>
    </row>
    <row r="146" spans="1:8" ht="16.5" customHeight="1">
      <c r="A146" s="234" t="s">
        <v>252</v>
      </c>
      <c r="B146" s="233">
        <f>[192]LAVAGEM!$D$16</f>
        <v>342.93799999999999</v>
      </c>
      <c r="C146" s="207">
        <f t="shared" si="81"/>
        <v>214.33624999999998</v>
      </c>
      <c r="D146" s="214">
        <f t="shared" si="82"/>
        <v>0</v>
      </c>
      <c r="E146" s="214">
        <f t="shared" si="78"/>
        <v>0</v>
      </c>
      <c r="F146" s="215">
        <f t="shared" si="79"/>
        <v>4.5549058225964778</v>
      </c>
      <c r="G146" s="216">
        <f t="shared" si="80"/>
        <v>3.9206060606060467</v>
      </c>
      <c r="H146" s="209">
        <f t="shared" si="43"/>
        <v>1.359857826967293</v>
      </c>
    </row>
    <row r="147" spans="1:8" ht="16.5" customHeight="1">
      <c r="A147" s="234" t="s">
        <v>253</v>
      </c>
      <c r="B147" s="233">
        <f>[193]LAVAGEM!$D$16</f>
        <v>342.93799999999999</v>
      </c>
      <c r="C147" s="207">
        <f t="shared" si="81"/>
        <v>214.33624999999998</v>
      </c>
      <c r="D147" s="214">
        <f t="shared" si="82"/>
        <v>0</v>
      </c>
      <c r="E147" s="214">
        <f t="shared" si="78"/>
        <v>0</v>
      </c>
      <c r="F147" s="215">
        <f t="shared" si="79"/>
        <v>2.7381829729357321</v>
      </c>
      <c r="G147" s="216">
        <f t="shared" si="80"/>
        <v>3.9206060606060467</v>
      </c>
      <c r="H147" s="209">
        <f t="shared" si="43"/>
        <v>1.359857826967293</v>
      </c>
    </row>
    <row r="148" spans="1:8" ht="16.5" customHeight="1">
      <c r="A148" s="234" t="s">
        <v>254</v>
      </c>
      <c r="B148" s="233">
        <f>[194]LAVAGEM!$D$16</f>
        <v>364.93799999999999</v>
      </c>
      <c r="C148" s="207">
        <f t="shared" si="81"/>
        <v>228.08624999999998</v>
      </c>
      <c r="D148" s="214">
        <f t="shared" si="82"/>
        <v>6.4151537595717123</v>
      </c>
      <c r="E148" s="214">
        <f t="shared" si="78"/>
        <v>6.4151537595717123</v>
      </c>
      <c r="F148" s="215">
        <f t="shared" si="79"/>
        <v>9.2700716813682416</v>
      </c>
      <c r="G148" s="216">
        <f t="shared" si="80"/>
        <v>10.587272727272733</v>
      </c>
      <c r="H148" s="209">
        <f t="shared" si="43"/>
        <v>1.2778798685379695</v>
      </c>
    </row>
    <row r="149" spans="1:8" ht="16.5" customHeight="1">
      <c r="A149" s="234" t="s">
        <v>255</v>
      </c>
      <c r="B149" s="233">
        <f>[195]LAVAGEM!$D$16</f>
        <v>364.93799999999999</v>
      </c>
      <c r="C149" s="207">
        <f t="shared" si="81"/>
        <v>228.08624999999998</v>
      </c>
      <c r="D149" s="214">
        <f t="shared" si="82"/>
        <v>0</v>
      </c>
      <c r="E149" s="214">
        <f t="shared" ref="E149:E154" si="83">100*(B149/B$142-1)</f>
        <v>6.4151537595717123</v>
      </c>
      <c r="F149" s="215">
        <f t="shared" ref="F149:F154" si="84">(100*(B149/B137-1))</f>
        <v>9.2700716813682416</v>
      </c>
      <c r="G149" s="216">
        <f t="shared" ref="G149:G154" si="85">100*(B149/B125-1)</f>
        <v>10.587272727272733</v>
      </c>
      <c r="H149" s="209">
        <f t="shared" si="43"/>
        <v>1.2778798685379695</v>
      </c>
    </row>
    <row r="150" spans="1:8" ht="16.5" customHeight="1">
      <c r="A150" s="234" t="str">
        <f>Recapagem!A150</f>
        <v>AGOSTO|15</v>
      </c>
      <c r="B150" s="233">
        <f>[196]LAVAGEM!$D$16</f>
        <v>364.93799999999999</v>
      </c>
      <c r="C150" s="207">
        <f t="shared" si="81"/>
        <v>228.08624999999998</v>
      </c>
      <c r="D150" s="214">
        <f t="shared" ref="D150:D155" si="86">100*(B150/B149-1)</f>
        <v>0</v>
      </c>
      <c r="E150" s="214">
        <f t="shared" si="83"/>
        <v>6.4151537595717123</v>
      </c>
      <c r="F150" s="215">
        <f t="shared" si="84"/>
        <v>9.2700716813682416</v>
      </c>
      <c r="G150" s="216">
        <f t="shared" si="85"/>
        <v>10.587272727272733</v>
      </c>
      <c r="H150" s="209">
        <f t="shared" si="43"/>
        <v>1.2778798685379695</v>
      </c>
    </row>
    <row r="151" spans="1:8" ht="16.5" customHeight="1">
      <c r="A151" s="234" t="str">
        <f>Recapagem!A151</f>
        <v>SETEMBRO|15</v>
      </c>
      <c r="B151" s="233">
        <f>[197]LAVAGEM!$D$16</f>
        <v>364.93799999999999</v>
      </c>
      <c r="C151" s="207">
        <f t="shared" ref="C151:C157" si="87">100*B151/B$8</f>
        <v>228.08624999999998</v>
      </c>
      <c r="D151" s="214">
        <f t="shared" si="86"/>
        <v>0</v>
      </c>
      <c r="E151" s="214">
        <f t="shared" si="83"/>
        <v>6.4151537595717123</v>
      </c>
      <c r="F151" s="215">
        <f t="shared" si="84"/>
        <v>9.2700716813682416</v>
      </c>
      <c r="G151" s="216">
        <f t="shared" si="85"/>
        <v>10.587272727272733</v>
      </c>
      <c r="H151" s="209">
        <f t="shared" si="43"/>
        <v>1.2778798685379695</v>
      </c>
    </row>
    <row r="152" spans="1:8" ht="16.5" customHeight="1">
      <c r="A152" s="234" t="str">
        <f>Recapagem!A152</f>
        <v>OUTUBRO|15</v>
      </c>
      <c r="B152" s="233">
        <f>[198]LAVAGEM!$D$16</f>
        <v>364.93799999999999</v>
      </c>
      <c r="C152" s="207">
        <f t="shared" si="87"/>
        <v>228.08624999999998</v>
      </c>
      <c r="D152" s="214">
        <f t="shared" si="86"/>
        <v>0</v>
      </c>
      <c r="E152" s="214">
        <f t="shared" si="83"/>
        <v>6.4151537595717123</v>
      </c>
      <c r="F152" s="215">
        <f t="shared" si="84"/>
        <v>6.4151537595717123</v>
      </c>
      <c r="G152" s="216">
        <f t="shared" si="85"/>
        <v>10.587272727272733</v>
      </c>
      <c r="H152" s="209">
        <f t="shared" si="43"/>
        <v>1.2778798685379695</v>
      </c>
    </row>
    <row r="153" spans="1:8" ht="16.5" customHeight="1">
      <c r="A153" s="234" t="str">
        <f>Recapagem!A153</f>
        <v>NOVEMBRO|15</v>
      </c>
      <c r="B153" s="233">
        <f>[199]LAVAGEM!$D$16</f>
        <v>364.93799999999999</v>
      </c>
      <c r="C153" s="207">
        <f t="shared" si="87"/>
        <v>228.08624999999998</v>
      </c>
      <c r="D153" s="214">
        <f t="shared" si="86"/>
        <v>0</v>
      </c>
      <c r="E153" s="214">
        <f t="shared" si="83"/>
        <v>6.4151537595717123</v>
      </c>
      <c r="F153" s="215">
        <f t="shared" si="84"/>
        <v>6.4151537595717123</v>
      </c>
      <c r="G153" s="216">
        <f t="shared" si="85"/>
        <v>10.587272727272733</v>
      </c>
      <c r="H153" s="209">
        <f t="shared" si="43"/>
        <v>1.2778798685379695</v>
      </c>
    </row>
    <row r="154" spans="1:8" ht="16.5" customHeight="1">
      <c r="A154" s="234" t="str">
        <f>Recapagem!A154</f>
        <v>DEZEMBRO|15</v>
      </c>
      <c r="B154" s="233">
        <f>[200]LAVAGEM!$D$16</f>
        <v>364.93799999999999</v>
      </c>
      <c r="C154" s="207">
        <f t="shared" si="87"/>
        <v>228.08624999999998</v>
      </c>
      <c r="D154" s="214">
        <f t="shared" si="86"/>
        <v>0</v>
      </c>
      <c r="E154" s="214">
        <f t="shared" si="83"/>
        <v>6.4151537595717123</v>
      </c>
      <c r="F154" s="215">
        <f t="shared" si="84"/>
        <v>6.4151537595717123</v>
      </c>
      <c r="G154" s="216">
        <f t="shared" si="85"/>
        <v>10.587272727272733</v>
      </c>
      <c r="H154" s="209">
        <f t="shared" si="43"/>
        <v>1.2778798685379695</v>
      </c>
    </row>
    <row r="155" spans="1:8" ht="16.5" customHeight="1">
      <c r="A155" s="234" t="str">
        <f>Recapagem!A155</f>
        <v>JANEIRO|16</v>
      </c>
      <c r="B155" s="233">
        <f>[201]LAVAGEM!$D$16</f>
        <v>364.93799999999999</v>
      </c>
      <c r="C155" s="207">
        <f t="shared" si="87"/>
        <v>228.08624999999998</v>
      </c>
      <c r="D155" s="214">
        <f t="shared" si="86"/>
        <v>0</v>
      </c>
      <c r="E155" s="214">
        <f t="shared" ref="E155:E160" si="88">100*(B155/B$154-1)</f>
        <v>0</v>
      </c>
      <c r="F155" s="215">
        <f t="shared" ref="F155:F160" si="89">(100*(B155/B143-1))</f>
        <v>6.4151537595717123</v>
      </c>
      <c r="G155" s="216">
        <f t="shared" ref="G155:G160" si="90">100*(B155/B131-1)</f>
        <v>10.587272727272733</v>
      </c>
      <c r="H155" s="209">
        <f t="shared" si="43"/>
        <v>1.2778798685379695</v>
      </c>
    </row>
    <row r="156" spans="1:8" ht="16.5" customHeight="1">
      <c r="A156" s="234" t="str">
        <f>Recapagem!A156</f>
        <v>FEVEREIRO|16</v>
      </c>
      <c r="B156" s="233">
        <f>[202]LAVAGEM!$D$16</f>
        <v>364.93799999999999</v>
      </c>
      <c r="C156" s="207">
        <f t="shared" si="87"/>
        <v>228.08624999999998</v>
      </c>
      <c r="D156" s="214">
        <f t="shared" ref="D156:D161" si="91">100*(B156/B155-1)</f>
        <v>0</v>
      </c>
      <c r="E156" s="214">
        <f t="shared" si="88"/>
        <v>0</v>
      </c>
      <c r="F156" s="215">
        <f t="shared" si="89"/>
        <v>6.4151537595717123</v>
      </c>
      <c r="G156" s="216">
        <f t="shared" si="90"/>
        <v>11.262263794291428</v>
      </c>
      <c r="H156" s="209">
        <f t="shared" si="43"/>
        <v>1.2778798685379695</v>
      </c>
    </row>
    <row r="157" spans="1:8" ht="16.5" customHeight="1">
      <c r="A157" s="234" t="str">
        <f>Recapagem!A157</f>
        <v>MARÇO|16</v>
      </c>
      <c r="B157" s="233">
        <f>[203]LAVAGEM!$D$16</f>
        <v>364.93799999999999</v>
      </c>
      <c r="C157" s="207">
        <f t="shared" si="87"/>
        <v>228.08624999999998</v>
      </c>
      <c r="D157" s="214">
        <f t="shared" si="91"/>
        <v>0</v>
      </c>
      <c r="E157" s="214">
        <f t="shared" si="88"/>
        <v>0</v>
      </c>
      <c r="F157" s="215">
        <f t="shared" si="89"/>
        <v>6.4151537595717123</v>
      </c>
      <c r="G157" s="216">
        <f t="shared" si="90"/>
        <v>11.262263794291428</v>
      </c>
      <c r="H157" s="209">
        <f t="shared" si="43"/>
        <v>1.2778798685379695</v>
      </c>
    </row>
    <row r="158" spans="1:8" ht="16.5" customHeight="1">
      <c r="A158" s="234" t="str">
        <f>Recapagem!A158</f>
        <v>ABRIL|16</v>
      </c>
      <c r="B158" s="233">
        <f>[204]LAVAGEM!$D$16</f>
        <v>364.93799999999999</v>
      </c>
      <c r="C158" s="207">
        <f t="shared" ref="C158:C164" si="92">100*B158/B$8</f>
        <v>228.08624999999998</v>
      </c>
      <c r="D158" s="214">
        <f t="shared" si="91"/>
        <v>0</v>
      </c>
      <c r="E158" s="214">
        <f t="shared" si="88"/>
        <v>0</v>
      </c>
      <c r="F158" s="215">
        <f t="shared" si="89"/>
        <v>6.4151537595717123</v>
      </c>
      <c r="G158" s="216">
        <f t="shared" si="90"/>
        <v>11.262263794291428</v>
      </c>
      <c r="H158" s="209">
        <f t="shared" si="43"/>
        <v>1.2778798685379695</v>
      </c>
    </row>
    <row r="159" spans="1:8" ht="16.5" customHeight="1">
      <c r="A159" s="234" t="str">
        <f>Recapagem!A159</f>
        <v>MAIO|16</v>
      </c>
      <c r="B159" s="233">
        <f>[205]LAVAGEM!$D$16</f>
        <v>395.59279200000003</v>
      </c>
      <c r="C159" s="207">
        <f t="shared" si="92"/>
        <v>247.24549500000003</v>
      </c>
      <c r="D159" s="214">
        <f t="shared" si="91"/>
        <v>8.4000000000000075</v>
      </c>
      <c r="E159" s="214">
        <f t="shared" si="88"/>
        <v>8.4000000000000075</v>
      </c>
      <c r="F159" s="215">
        <f t="shared" si="89"/>
        <v>15.354026675375732</v>
      </c>
      <c r="G159" s="216">
        <f t="shared" si="90"/>
        <v>18.512630992396616</v>
      </c>
      <c r="H159" s="209">
        <f t="shared" si="43"/>
        <v>1.1788559672859495</v>
      </c>
    </row>
    <row r="160" spans="1:8" ht="16.5" customHeight="1">
      <c r="A160" s="234" t="str">
        <f>Recapagem!A160</f>
        <v>JUNHO|16</v>
      </c>
      <c r="B160" s="233">
        <f>[206]LAVAGEM!$D$16</f>
        <v>395.59279200000003</v>
      </c>
      <c r="C160" s="207">
        <f t="shared" si="92"/>
        <v>247.24549500000003</v>
      </c>
      <c r="D160" s="214">
        <f t="shared" si="91"/>
        <v>0</v>
      </c>
      <c r="E160" s="214">
        <f t="shared" si="88"/>
        <v>8.4000000000000075</v>
      </c>
      <c r="F160" s="215">
        <f t="shared" si="89"/>
        <v>8.4000000000000075</v>
      </c>
      <c r="G160" s="216">
        <f t="shared" si="90"/>
        <v>18.448757702603192</v>
      </c>
      <c r="H160" s="209">
        <f t="shared" si="43"/>
        <v>1.1788559672859495</v>
      </c>
    </row>
    <row r="161" spans="1:8" ht="16.5" customHeight="1">
      <c r="A161" s="234" t="str">
        <f>Recapagem!A161</f>
        <v>JULHO|16</v>
      </c>
      <c r="B161" s="233">
        <f>[207]LAVAGEM!$D$16</f>
        <v>395.59279200000003</v>
      </c>
      <c r="C161" s="207">
        <f t="shared" si="92"/>
        <v>247.24549500000003</v>
      </c>
      <c r="D161" s="214">
        <f t="shared" si="91"/>
        <v>0</v>
      </c>
      <c r="E161" s="214">
        <f t="shared" ref="E161" si="93">100*(B161/B$154-1)</f>
        <v>8.4000000000000075</v>
      </c>
      <c r="F161" s="215">
        <f t="shared" ref="F161" si="94">(100*(B161/B149-1))</f>
        <v>8.4000000000000075</v>
      </c>
      <c r="G161" s="216">
        <f t="shared" ref="G161" si="95">100*(B161/B137-1)</f>
        <v>18.448757702603192</v>
      </c>
      <c r="H161" s="209">
        <f t="shared" ref="H161:H211" si="96">+B$211/B161</f>
        <v>1.1788559672859495</v>
      </c>
    </row>
    <row r="162" spans="1:8" ht="16.5" customHeight="1">
      <c r="A162" s="234" t="str">
        <f>Recapagem!A162</f>
        <v>AGOSTO|16</v>
      </c>
      <c r="B162" s="233">
        <f>[208]LAVAGEM!$D$16</f>
        <v>395.59279200000003</v>
      </c>
      <c r="C162" s="207">
        <f t="shared" si="92"/>
        <v>247.24549500000003</v>
      </c>
      <c r="D162" s="214">
        <f t="shared" ref="D162" si="97">100*(B162/B161-1)</f>
        <v>0</v>
      </c>
      <c r="E162" s="214">
        <f t="shared" ref="E162" si="98">100*(B162/B$154-1)</f>
        <v>8.4000000000000075</v>
      </c>
      <c r="F162" s="215">
        <f t="shared" ref="F162" si="99">(100*(B162/B150-1))</f>
        <v>8.4000000000000075</v>
      </c>
      <c r="G162" s="216">
        <f t="shared" ref="G162" si="100">100*(B162/B138-1)</f>
        <v>18.448757702603192</v>
      </c>
      <c r="H162" s="209">
        <f t="shared" si="96"/>
        <v>1.1788559672859495</v>
      </c>
    </row>
    <row r="163" spans="1:8" ht="16.5" customHeight="1">
      <c r="A163" s="234" t="str">
        <f>Recapagem!A163</f>
        <v>SETEMBRO|16</v>
      </c>
      <c r="B163" s="233">
        <f>[209]LAVAGEM!$D$16</f>
        <v>395.59279200000003</v>
      </c>
      <c r="C163" s="207">
        <f t="shared" si="92"/>
        <v>247.24549500000003</v>
      </c>
      <c r="D163" s="214">
        <f t="shared" ref="D163" si="101">100*(B163/B162-1)</f>
        <v>0</v>
      </c>
      <c r="E163" s="214">
        <f t="shared" ref="E163" si="102">100*(B163/B$154-1)</f>
        <v>8.4000000000000075</v>
      </c>
      <c r="F163" s="215">
        <f t="shared" ref="F163" si="103">(100*(B163/B151-1))</f>
        <v>8.4000000000000075</v>
      </c>
      <c r="G163" s="216">
        <f t="shared" ref="G163" si="104">100*(B163/B139-1)</f>
        <v>18.448757702603192</v>
      </c>
      <c r="H163" s="209">
        <f t="shared" si="96"/>
        <v>1.1788559672859495</v>
      </c>
    </row>
    <row r="164" spans="1:8" ht="16.5" customHeight="1">
      <c r="A164" s="234" t="str">
        <f>Recapagem!A164</f>
        <v>OUTUBRO|16</v>
      </c>
      <c r="B164" s="233">
        <f>[210]LAVAGEM!$D$16</f>
        <v>395.59279200000003</v>
      </c>
      <c r="C164" s="207">
        <f t="shared" si="92"/>
        <v>247.24549500000003</v>
      </c>
      <c r="D164" s="214">
        <f t="shared" ref="D164" si="105">100*(B164/B163-1)</f>
        <v>0</v>
      </c>
      <c r="E164" s="214">
        <f t="shared" ref="E164" si="106">100*(B164/B$154-1)</f>
        <v>8.4000000000000075</v>
      </c>
      <c r="F164" s="215">
        <f t="shared" ref="F164" si="107">(100*(B164/B152-1))</f>
        <v>8.4000000000000075</v>
      </c>
      <c r="G164" s="216">
        <f t="shared" ref="G164" si="108">100*(B164/B140-1)</f>
        <v>15.354026675375732</v>
      </c>
      <c r="H164" s="209">
        <f t="shared" si="96"/>
        <v>1.1788559672859495</v>
      </c>
    </row>
    <row r="165" spans="1:8" ht="16.5" customHeight="1">
      <c r="A165" s="234" t="str">
        <f>Recapagem!A165</f>
        <v>NOVEMBRO|16</v>
      </c>
      <c r="B165" s="233">
        <f>[211]LAVAGEM!$D$16</f>
        <v>395.59279200000003</v>
      </c>
      <c r="C165" s="207">
        <f t="shared" ref="C165" si="109">100*B165/B$8</f>
        <v>247.24549500000003</v>
      </c>
      <c r="D165" s="214">
        <f t="shared" ref="D165" si="110">100*(B165/B164-1)</f>
        <v>0</v>
      </c>
      <c r="E165" s="214">
        <f t="shared" ref="E165" si="111">100*(B165/B$154-1)</f>
        <v>8.4000000000000075</v>
      </c>
      <c r="F165" s="215">
        <f t="shared" ref="F165" si="112">(100*(B165/B153-1))</f>
        <v>8.4000000000000075</v>
      </c>
      <c r="G165" s="216">
        <f t="shared" ref="G165" si="113">100*(B165/B141-1)</f>
        <v>15.354026675375732</v>
      </c>
      <c r="H165" s="209">
        <f t="shared" si="96"/>
        <v>1.1788559672859495</v>
      </c>
    </row>
    <row r="166" spans="1:8" ht="16.5" customHeight="1">
      <c r="A166" s="234" t="str">
        <f>Recapagem!A166</f>
        <v>DEZEMBRO|16</v>
      </c>
      <c r="B166" s="233">
        <f>[212]LAVAGEM!$D$16</f>
        <v>395.59279200000003</v>
      </c>
      <c r="C166" s="207">
        <f t="shared" ref="C166" si="114">100*B166/B$8</f>
        <v>247.24549500000003</v>
      </c>
      <c r="D166" s="214">
        <f t="shared" ref="D166" si="115">100*(B166/B165-1)</f>
        <v>0</v>
      </c>
      <c r="E166" s="214">
        <f t="shared" ref="E166" si="116">100*(B166/B$154-1)</f>
        <v>8.4000000000000075</v>
      </c>
      <c r="F166" s="215">
        <f t="shared" ref="F166" si="117">(100*(B166/B154-1))</f>
        <v>8.4000000000000075</v>
      </c>
      <c r="G166" s="216">
        <f t="shared" ref="G166" si="118">100*(B166/B142-1)</f>
        <v>15.354026675375732</v>
      </c>
      <c r="H166" s="209">
        <f t="shared" si="96"/>
        <v>1.1788559672859495</v>
      </c>
    </row>
    <row r="167" spans="1:8" ht="16.5" customHeight="1">
      <c r="A167" s="234" t="str">
        <f>Recapagem!A167</f>
        <v>JANEIRO|17</v>
      </c>
      <c r="B167" s="233">
        <f>[213]LAVAGEM!$D$16</f>
        <v>395.59279200000003</v>
      </c>
      <c r="C167" s="207">
        <f t="shared" ref="C167" si="119">100*B167/B$8</f>
        <v>247.24549500000003</v>
      </c>
      <c r="D167" s="214">
        <f t="shared" ref="D167" si="120">100*(B167/B166-1)</f>
        <v>0</v>
      </c>
      <c r="E167" s="214">
        <f t="shared" ref="E167:E172" si="121">100*(B167/B$166-1)</f>
        <v>0</v>
      </c>
      <c r="F167" s="215">
        <f t="shared" ref="F167" si="122">(100*(B167/B155-1))</f>
        <v>8.4000000000000075</v>
      </c>
      <c r="G167" s="216">
        <f t="shared" ref="G167" si="123">100*(B167/B143-1)</f>
        <v>15.354026675375732</v>
      </c>
      <c r="H167" s="209">
        <f t="shared" si="96"/>
        <v>1.1788559672859495</v>
      </c>
    </row>
    <row r="168" spans="1:8" ht="16.5" customHeight="1">
      <c r="A168" s="234" t="str">
        <f>Recapagem!A168</f>
        <v>FEVEREIRO|17</v>
      </c>
      <c r="B168" s="233">
        <f>[214]LAVAGEM!$D$16</f>
        <v>395.59279200000003</v>
      </c>
      <c r="C168" s="207">
        <f t="shared" ref="C168" si="124">100*B168/B$8</f>
        <v>247.24549500000003</v>
      </c>
      <c r="D168" s="214">
        <f t="shared" ref="D168" si="125">100*(B168/B167-1)</f>
        <v>0</v>
      </c>
      <c r="E168" s="214">
        <f t="shared" si="121"/>
        <v>0</v>
      </c>
      <c r="F168" s="215">
        <f t="shared" ref="F168" si="126">(100*(B168/B156-1))</f>
        <v>8.4000000000000075</v>
      </c>
      <c r="G168" s="216">
        <f t="shared" ref="G168" si="127">100*(B168/B144-1)</f>
        <v>15.354026675375732</v>
      </c>
      <c r="H168" s="209">
        <f t="shared" si="96"/>
        <v>1.1788559672859495</v>
      </c>
    </row>
    <row r="169" spans="1:8" ht="16.5" customHeight="1">
      <c r="A169" s="234" t="str">
        <f>Recapagem!A169</f>
        <v>MARÇO|17</v>
      </c>
      <c r="B169" s="233">
        <f>[215]LAVAGEM!$D$16</f>
        <v>395.59279200000003</v>
      </c>
      <c r="C169" s="207">
        <f t="shared" ref="C169" si="128">100*B169/B$8</f>
        <v>247.24549500000003</v>
      </c>
      <c r="D169" s="214">
        <f t="shared" ref="D169" si="129">100*(B169/B168-1)</f>
        <v>0</v>
      </c>
      <c r="E169" s="214">
        <f t="shared" si="121"/>
        <v>0</v>
      </c>
      <c r="F169" s="215">
        <f t="shared" ref="F169" si="130">(100*(B169/B157-1))</f>
        <v>8.4000000000000075</v>
      </c>
      <c r="G169" s="216">
        <f t="shared" ref="G169" si="131">100*(B169/B145-1)</f>
        <v>15.354026675375732</v>
      </c>
      <c r="H169" s="209">
        <f t="shared" si="96"/>
        <v>1.1788559672859495</v>
      </c>
    </row>
    <row r="170" spans="1:8" ht="16.5" customHeight="1">
      <c r="A170" s="234" t="str">
        <f>Recapagem!A170</f>
        <v>ABRIL|17</v>
      </c>
      <c r="B170" s="233">
        <f>[216]LAVAGEM!$D$16</f>
        <v>395.59279200000003</v>
      </c>
      <c r="C170" s="207">
        <f t="shared" ref="C170" si="132">100*B170/B$8</f>
        <v>247.24549500000003</v>
      </c>
      <c r="D170" s="214">
        <f t="shared" ref="D170" si="133">100*(B170/B169-1)</f>
        <v>0</v>
      </c>
      <c r="E170" s="214">
        <f t="shared" si="121"/>
        <v>0</v>
      </c>
      <c r="F170" s="215">
        <f t="shared" ref="F170" si="134">(100*(B170/B158-1))</f>
        <v>8.4000000000000075</v>
      </c>
      <c r="G170" s="216">
        <f t="shared" ref="G170" si="135">100*(B170/B146-1)</f>
        <v>15.354026675375732</v>
      </c>
      <c r="H170" s="209">
        <f t="shared" si="96"/>
        <v>1.1788559672859495</v>
      </c>
    </row>
    <row r="171" spans="1:8" ht="16.5" customHeight="1">
      <c r="A171" s="234" t="str">
        <f>Recapagem!A171</f>
        <v>MAIO|17</v>
      </c>
      <c r="B171" s="233">
        <f>[217]LAVAGEM!$D$16</f>
        <v>395.59279200000003</v>
      </c>
      <c r="C171" s="207">
        <f t="shared" ref="C171" si="136">100*B171/B$8</f>
        <v>247.24549500000003</v>
      </c>
      <c r="D171" s="214">
        <f t="shared" ref="D171" si="137">100*(B171/B170-1)</f>
        <v>0</v>
      </c>
      <c r="E171" s="214">
        <f t="shared" si="121"/>
        <v>0</v>
      </c>
      <c r="F171" s="215">
        <f t="shared" ref="F171" si="138">(100*(B171/B159-1))</f>
        <v>0</v>
      </c>
      <c r="G171" s="216">
        <f t="shared" ref="G171" si="139">100*(B171/B147-1)</f>
        <v>15.354026675375732</v>
      </c>
      <c r="H171" s="209">
        <f t="shared" si="96"/>
        <v>1.1788559672859495</v>
      </c>
    </row>
    <row r="172" spans="1:8" ht="16.5" customHeight="1">
      <c r="A172" s="234" t="str">
        <f>Recapagem!A172</f>
        <v>JUNHO|17</v>
      </c>
      <c r="B172" s="233">
        <f>[218]LAVAGEM!$D$16</f>
        <v>395.59279200000003</v>
      </c>
      <c r="C172" s="207">
        <f t="shared" ref="C172" si="140">100*B172/B$8</f>
        <v>247.24549500000003</v>
      </c>
      <c r="D172" s="214">
        <f t="shared" ref="D172" si="141">100*(B172/B171-1)</f>
        <v>0</v>
      </c>
      <c r="E172" s="214">
        <f t="shared" si="121"/>
        <v>0</v>
      </c>
      <c r="F172" s="215">
        <f t="shared" ref="F172" si="142">(100*(B172/B160-1))</f>
        <v>0</v>
      </c>
      <c r="G172" s="216">
        <f t="shared" ref="G172" si="143">100*(B172/B148-1)</f>
        <v>8.4000000000000075</v>
      </c>
      <c r="H172" s="209">
        <f t="shared" si="96"/>
        <v>1.1788559672859495</v>
      </c>
    </row>
    <row r="173" spans="1:8" ht="16.5" customHeight="1">
      <c r="A173" s="234" t="str">
        <f>Recapagem!A173</f>
        <v>JULHO|17</v>
      </c>
      <c r="B173" s="233">
        <f>[219]LAVAGEM!$D$16</f>
        <v>395.59279200000003</v>
      </c>
      <c r="C173" s="207">
        <f t="shared" ref="C173" si="144">100*B173/B$8</f>
        <v>247.24549500000003</v>
      </c>
      <c r="D173" s="214">
        <f t="shared" ref="D173" si="145">100*(B173/B172-1)</f>
        <v>0</v>
      </c>
      <c r="E173" s="214">
        <f t="shared" ref="E173" si="146">100*(B173/B$166-1)</f>
        <v>0</v>
      </c>
      <c r="F173" s="215">
        <f t="shared" ref="F173" si="147">(100*(B173/B161-1))</f>
        <v>0</v>
      </c>
      <c r="G173" s="216">
        <f t="shared" ref="G173" si="148">100*(B173/B149-1)</f>
        <v>8.4000000000000075</v>
      </c>
      <c r="H173" s="209">
        <f t="shared" si="96"/>
        <v>1.1788559672859495</v>
      </c>
    </row>
    <row r="174" spans="1:8" ht="16.5" customHeight="1">
      <c r="A174" s="234" t="str">
        <f>Recapagem!A174</f>
        <v>AGOSTO|17</v>
      </c>
      <c r="B174" s="233">
        <f>[220]LAVAGEM!$D$16</f>
        <v>412.11078400000008</v>
      </c>
      <c r="C174" s="207">
        <f t="shared" ref="C174" si="149">100*B174/B$8</f>
        <v>257.56924000000004</v>
      </c>
      <c r="D174" s="214">
        <f t="shared" ref="D174" si="150">100*(B174/B173-1)</f>
        <v>4.1755037842044596</v>
      </c>
      <c r="E174" s="214">
        <f t="shared" ref="E174" si="151">100*(B174/B$166-1)</f>
        <v>4.1755037842044596</v>
      </c>
      <c r="F174" s="215">
        <f t="shared" ref="F174" si="152">(100*(B174/B162-1))</f>
        <v>4.1755037842044596</v>
      </c>
      <c r="G174" s="216">
        <f t="shared" ref="G174" si="153">100*(B174/B150-1)</f>
        <v>12.926246102077643</v>
      </c>
      <c r="H174" s="209">
        <f t="shared" si="96"/>
        <v>1.1316057273194515</v>
      </c>
    </row>
    <row r="175" spans="1:8" ht="16.5" customHeight="1">
      <c r="A175" s="234" t="str">
        <f>Recapagem!A175</f>
        <v>SETEMBRO|17</v>
      </c>
      <c r="B175" s="233">
        <f>[221]LAVAGEM!$D$16</f>
        <v>412.11078400000008</v>
      </c>
      <c r="C175" s="207">
        <f t="shared" ref="C175" si="154">100*B175/B$8</f>
        <v>257.56924000000004</v>
      </c>
      <c r="D175" s="214">
        <f t="shared" ref="D175" si="155">100*(B175/B174-1)</f>
        <v>0</v>
      </c>
      <c r="E175" s="214">
        <f t="shared" ref="E175" si="156">100*(B175/B$166-1)</f>
        <v>4.1755037842044596</v>
      </c>
      <c r="F175" s="215">
        <f t="shared" ref="F175" si="157">(100*(B175/B163-1))</f>
        <v>4.1755037842044596</v>
      </c>
      <c r="G175" s="216">
        <f t="shared" ref="G175" si="158">100*(B175/B151-1)</f>
        <v>12.926246102077643</v>
      </c>
      <c r="H175" s="209">
        <f t="shared" si="96"/>
        <v>1.1316057273194515</v>
      </c>
    </row>
    <row r="176" spans="1:8" ht="16.5" customHeight="1">
      <c r="A176" s="234" t="str">
        <f>Recapagem!A176</f>
        <v>OUTUBRO|17</v>
      </c>
      <c r="B176" s="233">
        <f>[222]LAVAGEM!$D$16</f>
        <v>412.11078400000008</v>
      </c>
      <c r="C176" s="207">
        <f t="shared" ref="C176" si="159">100*B176/B$8</f>
        <v>257.56924000000004</v>
      </c>
      <c r="D176" s="214">
        <f t="shared" ref="D176" si="160">100*(B176/B175-1)</f>
        <v>0</v>
      </c>
      <c r="E176" s="214">
        <f t="shared" ref="E176" si="161">100*(B176/B$166-1)</f>
        <v>4.1755037842044596</v>
      </c>
      <c r="F176" s="215">
        <f t="shared" ref="F176" si="162">(100*(B176/B164-1))</f>
        <v>4.1755037842044596</v>
      </c>
      <c r="G176" s="216">
        <f t="shared" ref="G176" si="163">100*(B176/B152-1)</f>
        <v>12.926246102077643</v>
      </c>
      <c r="H176" s="209">
        <f t="shared" si="96"/>
        <v>1.1316057273194515</v>
      </c>
    </row>
    <row r="177" spans="1:8" ht="16.5" customHeight="1">
      <c r="A177" s="234" t="str">
        <f>Recapagem!A177</f>
        <v>NOVEMBRO|17</v>
      </c>
      <c r="B177" s="233">
        <f>[223]LAVAGEM!$D$16</f>
        <v>412.11078400000008</v>
      </c>
      <c r="C177" s="207">
        <f t="shared" ref="C177" si="164">100*B177/B$8</f>
        <v>257.56924000000004</v>
      </c>
      <c r="D177" s="214">
        <f t="shared" ref="D177" si="165">100*(B177/B176-1)</f>
        <v>0</v>
      </c>
      <c r="E177" s="214">
        <f t="shared" ref="E177" si="166">100*(B177/B$166-1)</f>
        <v>4.1755037842044596</v>
      </c>
      <c r="F177" s="215">
        <f t="shared" ref="F177" si="167">(100*(B177/B165-1))</f>
        <v>4.1755037842044596</v>
      </c>
      <c r="G177" s="216">
        <f t="shared" ref="G177" si="168">100*(B177/B153-1)</f>
        <v>12.926246102077643</v>
      </c>
      <c r="H177" s="209">
        <f t="shared" si="96"/>
        <v>1.1316057273194515</v>
      </c>
    </row>
    <row r="178" spans="1:8" ht="16.5" customHeight="1">
      <c r="A178" s="234" t="str">
        <f>Recapagem!A178</f>
        <v>DEZEMBRO|17</v>
      </c>
      <c r="B178" s="233">
        <f>[224]LAVAGEM!$D$16</f>
        <v>412.11078400000008</v>
      </c>
      <c r="C178" s="207">
        <f t="shared" ref="C178" si="169">100*B178/B$8</f>
        <v>257.56924000000004</v>
      </c>
      <c r="D178" s="214">
        <f t="shared" ref="D178" si="170">100*(B178/B177-1)</f>
        <v>0</v>
      </c>
      <c r="E178" s="214">
        <f t="shared" ref="E178" si="171">100*(B178/B$166-1)</f>
        <v>4.1755037842044596</v>
      </c>
      <c r="F178" s="215">
        <f t="shared" ref="F178" si="172">(100*(B178/B166-1))</f>
        <v>4.1755037842044596</v>
      </c>
      <c r="G178" s="216">
        <f t="shared" ref="G178" si="173">100*(B178/B154-1)</f>
        <v>12.926246102077643</v>
      </c>
      <c r="H178" s="209">
        <f t="shared" si="96"/>
        <v>1.1316057273194515</v>
      </c>
    </row>
    <row r="179" spans="1:8" ht="16.5" customHeight="1">
      <c r="A179" s="234" t="str">
        <f>Recapagem!A179</f>
        <v>JANEIRO|18</v>
      </c>
      <c r="B179" s="233">
        <f>[225]LAVAGEM!$D$16</f>
        <v>412.11078400000008</v>
      </c>
      <c r="C179" s="207">
        <f t="shared" ref="C179" si="174">100*B179/B$8</f>
        <v>257.56924000000004</v>
      </c>
      <c r="D179" s="214">
        <f t="shared" ref="D179" si="175">100*(B179/B178-1)</f>
        <v>0</v>
      </c>
      <c r="E179" s="214">
        <f t="shared" ref="E179:E184" si="176">100*(B179/B$178-1)</f>
        <v>0</v>
      </c>
      <c r="F179" s="215">
        <f t="shared" ref="F179" si="177">(100*(B179/B167-1))</f>
        <v>4.1755037842044596</v>
      </c>
      <c r="G179" s="216">
        <f t="shared" ref="G179" si="178">100*(B179/B155-1)</f>
        <v>12.926246102077643</v>
      </c>
      <c r="H179" s="209">
        <f t="shared" si="96"/>
        <v>1.1316057273194515</v>
      </c>
    </row>
    <row r="180" spans="1:8" ht="16.5" customHeight="1">
      <c r="A180" s="234" t="str">
        <f>Recapagem!A180</f>
        <v>FEVEREIRO|18</v>
      </c>
      <c r="B180" s="233">
        <f>[226]LAVAGEM!$D$16</f>
        <v>412.11078400000008</v>
      </c>
      <c r="C180" s="207">
        <f t="shared" ref="C180" si="179">100*B180/B$8</f>
        <v>257.56924000000004</v>
      </c>
      <c r="D180" s="214">
        <f t="shared" ref="D180" si="180">100*(B180/B179-1)</f>
        <v>0</v>
      </c>
      <c r="E180" s="214">
        <f t="shared" si="176"/>
        <v>0</v>
      </c>
      <c r="F180" s="215">
        <f t="shared" ref="F180" si="181">(100*(B180/B168-1))</f>
        <v>4.1755037842044596</v>
      </c>
      <c r="G180" s="216">
        <f t="shared" ref="G180" si="182">100*(B180/B156-1)</f>
        <v>12.926246102077643</v>
      </c>
      <c r="H180" s="209">
        <f t="shared" si="96"/>
        <v>1.1316057273194515</v>
      </c>
    </row>
    <row r="181" spans="1:8" ht="16.5" customHeight="1">
      <c r="A181" s="234" t="str">
        <f>Recapagem!A181</f>
        <v>MARÇO|18</v>
      </c>
      <c r="B181" s="233">
        <f>[227]LAVAGEM!$D$16</f>
        <v>412.11078400000008</v>
      </c>
      <c r="C181" s="207">
        <f t="shared" ref="C181" si="183">100*B181/B$8</f>
        <v>257.56924000000004</v>
      </c>
      <c r="D181" s="214">
        <f t="shared" ref="D181" si="184">100*(B181/B180-1)</f>
        <v>0</v>
      </c>
      <c r="E181" s="214">
        <f t="shared" si="176"/>
        <v>0</v>
      </c>
      <c r="F181" s="215">
        <f t="shared" ref="F181" si="185">(100*(B181/B169-1))</f>
        <v>4.1755037842044596</v>
      </c>
      <c r="G181" s="216">
        <f t="shared" ref="G181" si="186">100*(B181/B157-1)</f>
        <v>12.926246102077643</v>
      </c>
      <c r="H181" s="209">
        <f t="shared" si="96"/>
        <v>1.1316057273194515</v>
      </c>
    </row>
    <row r="182" spans="1:8" ht="16.5" customHeight="1">
      <c r="A182" s="234" t="str">
        <f>Recapagem!A182</f>
        <v>ABRIL|18</v>
      </c>
      <c r="B182" s="233">
        <f>[228]LAVAGEM!$D$16</f>
        <v>412.11078400000008</v>
      </c>
      <c r="C182" s="207">
        <f t="shared" ref="C182" si="187">100*B182/B$8</f>
        <v>257.56924000000004</v>
      </c>
      <c r="D182" s="214">
        <f t="shared" ref="D182" si="188">100*(B182/B181-1)</f>
        <v>0</v>
      </c>
      <c r="E182" s="214">
        <f t="shared" si="176"/>
        <v>0</v>
      </c>
      <c r="F182" s="215">
        <f t="shared" ref="F182" si="189">(100*(B182/B170-1))</f>
        <v>4.1755037842044596</v>
      </c>
      <c r="G182" s="216">
        <f t="shared" ref="G182" si="190">100*(B182/B158-1)</f>
        <v>12.926246102077643</v>
      </c>
      <c r="H182" s="209">
        <f t="shared" si="96"/>
        <v>1.1316057273194515</v>
      </c>
    </row>
    <row r="183" spans="1:8" ht="16.5" customHeight="1">
      <c r="A183" s="234" t="str">
        <f>Recapagem!A183</f>
        <v>MAIO|18</v>
      </c>
      <c r="B183" s="233">
        <f>[229]LAVAGEM!$D$16</f>
        <v>412.11078400000008</v>
      </c>
      <c r="C183" s="207">
        <f t="shared" ref="C183" si="191">100*B183/B$8</f>
        <v>257.56924000000004</v>
      </c>
      <c r="D183" s="214">
        <f t="shared" ref="D183" si="192">100*(B183/B182-1)</f>
        <v>0</v>
      </c>
      <c r="E183" s="214">
        <f t="shared" si="176"/>
        <v>0</v>
      </c>
      <c r="F183" s="215">
        <f t="shared" ref="F183" si="193">(100*(B183/B171-1))</f>
        <v>4.1755037842044596</v>
      </c>
      <c r="G183" s="216">
        <f t="shared" ref="G183" si="194">100*(B183/B159-1)</f>
        <v>4.1755037842044596</v>
      </c>
      <c r="H183" s="209">
        <f t="shared" si="96"/>
        <v>1.1316057273194515</v>
      </c>
    </row>
    <row r="184" spans="1:8" ht="16.5" customHeight="1">
      <c r="A184" s="234" t="str">
        <f>Recapagem!A184</f>
        <v>JUNHO|18</v>
      </c>
      <c r="B184" s="233">
        <f>[230]LAVAGEM!$D$16</f>
        <v>430.6557692799999</v>
      </c>
      <c r="C184" s="207">
        <f t="shared" ref="C184" si="195">100*B184/B$8</f>
        <v>269.15985579999995</v>
      </c>
      <c r="D184" s="214">
        <f t="shared" ref="D184" si="196">100*(B184/B183-1)</f>
        <v>4.4999999999999485</v>
      </c>
      <c r="E184" s="214">
        <f t="shared" si="176"/>
        <v>4.4999999999999485</v>
      </c>
      <c r="F184" s="215">
        <f t="shared" ref="F184" si="197">(100*(B184/B172-1))</f>
        <v>8.8634014544936015</v>
      </c>
      <c r="G184" s="216">
        <f t="shared" ref="G184" si="198">100*(B184/B160-1)</f>
        <v>8.8634014544936015</v>
      </c>
      <c r="H184" s="209">
        <f t="shared" si="96"/>
        <v>1.0828762940856</v>
      </c>
    </row>
    <row r="185" spans="1:8" ht="16.5" customHeight="1">
      <c r="A185" s="234" t="str">
        <f>Recapagem!A185</f>
        <v>JULHO|18</v>
      </c>
      <c r="B185" s="233">
        <f>[231]LAVAGEM!$D$16</f>
        <v>430.6557692799999</v>
      </c>
      <c r="C185" s="207">
        <f t="shared" ref="C185" si="199">100*B185/B$8</f>
        <v>269.15985579999995</v>
      </c>
      <c r="D185" s="214">
        <f t="shared" ref="D185" si="200">100*(B185/B184-1)</f>
        <v>0</v>
      </c>
      <c r="E185" s="214">
        <f t="shared" ref="E185" si="201">100*(B185/B$178-1)</f>
        <v>4.4999999999999485</v>
      </c>
      <c r="F185" s="215">
        <f t="shared" ref="F185" si="202">(100*(B185/B173-1))</f>
        <v>8.8634014544936015</v>
      </c>
      <c r="G185" s="216">
        <f t="shared" ref="G185" si="203">100*(B185/B161-1)</f>
        <v>8.8634014544936015</v>
      </c>
      <c r="H185" s="209">
        <f t="shared" si="96"/>
        <v>1.0828762940856</v>
      </c>
    </row>
    <row r="186" spans="1:8" ht="16.5" customHeight="1">
      <c r="A186" s="234" t="str">
        <f>Recapagem!A186</f>
        <v>AGOSTO|18</v>
      </c>
      <c r="B186" s="233">
        <f>[232]LAVAGEM!$D$16</f>
        <v>430.6557692799999</v>
      </c>
      <c r="C186" s="207">
        <f t="shared" ref="C186" si="204">100*B186/B$8</f>
        <v>269.15985579999995</v>
      </c>
      <c r="D186" s="214">
        <f t="shared" ref="D186" si="205">100*(B186/B185-1)</f>
        <v>0</v>
      </c>
      <c r="E186" s="214">
        <f t="shared" ref="E186" si="206">100*(B186/B$178-1)</f>
        <v>4.4999999999999485</v>
      </c>
      <c r="F186" s="215">
        <f t="shared" ref="F186" si="207">(100*(B186/B174-1))</f>
        <v>4.4999999999999485</v>
      </c>
      <c r="G186" s="216">
        <f t="shared" ref="G186" si="208">100*(B186/B162-1)</f>
        <v>8.8634014544936015</v>
      </c>
      <c r="H186" s="209">
        <f t="shared" si="96"/>
        <v>1.0828762940856</v>
      </c>
    </row>
    <row r="187" spans="1:8" ht="16.5" customHeight="1">
      <c r="A187" s="234" t="str">
        <f>Recapagem!A187</f>
        <v>SETEMBRO|18</v>
      </c>
      <c r="B187" s="233">
        <f>[233]LAVAGEM!$D$16</f>
        <v>430.6557692799999</v>
      </c>
      <c r="C187" s="207">
        <f t="shared" ref="C187" si="209">100*B187/B$8</f>
        <v>269.15985579999995</v>
      </c>
      <c r="D187" s="214">
        <f t="shared" ref="D187" si="210">100*(B187/B186-1)</f>
        <v>0</v>
      </c>
      <c r="E187" s="214">
        <f t="shared" ref="E187" si="211">100*(B187/B$178-1)</f>
        <v>4.4999999999999485</v>
      </c>
      <c r="F187" s="215">
        <f t="shared" ref="F187" si="212">(100*(B187/B175-1))</f>
        <v>4.4999999999999485</v>
      </c>
      <c r="G187" s="216">
        <f t="shared" ref="G187" si="213">100*(B187/B163-1)</f>
        <v>8.8634014544936015</v>
      </c>
      <c r="H187" s="209">
        <f t="shared" si="96"/>
        <v>1.0828762940856</v>
      </c>
    </row>
    <row r="188" spans="1:8" ht="16.5" customHeight="1">
      <c r="A188" s="234" t="str">
        <f>Recapagem!A188</f>
        <v>OUTUBRO|18</v>
      </c>
      <c r="B188" s="233">
        <f>[234]LAVAGEM!$D$16</f>
        <v>430.6557692799999</v>
      </c>
      <c r="C188" s="207">
        <f t="shared" ref="C188" si="214">100*B188/B$8</f>
        <v>269.15985579999995</v>
      </c>
      <c r="D188" s="214">
        <f t="shared" ref="D188" si="215">100*(B188/B187-1)</f>
        <v>0</v>
      </c>
      <c r="E188" s="214">
        <f t="shared" ref="E188" si="216">100*(B188/B$178-1)</f>
        <v>4.4999999999999485</v>
      </c>
      <c r="F188" s="215">
        <f t="shared" ref="F188" si="217">(100*(B188/B176-1))</f>
        <v>4.4999999999999485</v>
      </c>
      <c r="G188" s="216">
        <f t="shared" ref="G188" si="218">100*(B188/B164-1)</f>
        <v>8.8634014544936015</v>
      </c>
      <c r="H188" s="209">
        <f t="shared" si="96"/>
        <v>1.0828762940856</v>
      </c>
    </row>
    <row r="189" spans="1:8" ht="16.5" customHeight="1">
      <c r="A189" s="234" t="str">
        <f>Recapagem!A189</f>
        <v>NOVEMBRO|18</v>
      </c>
      <c r="B189" s="233">
        <f>[235]LAVAGEM!$D$16</f>
        <v>430.6557692799999</v>
      </c>
      <c r="C189" s="207">
        <f t="shared" ref="C189" si="219">100*B189/B$8</f>
        <v>269.15985579999995</v>
      </c>
      <c r="D189" s="214">
        <f t="shared" ref="D189" si="220">100*(B189/B188-1)</f>
        <v>0</v>
      </c>
      <c r="E189" s="214">
        <f t="shared" ref="E189" si="221">100*(B189/B$178-1)</f>
        <v>4.4999999999999485</v>
      </c>
      <c r="F189" s="215">
        <f t="shared" ref="F189" si="222">(100*(B189/B177-1))</f>
        <v>4.4999999999999485</v>
      </c>
      <c r="G189" s="216">
        <f t="shared" ref="G189" si="223">100*(B189/B165-1)</f>
        <v>8.8634014544936015</v>
      </c>
      <c r="H189" s="209">
        <f t="shared" si="96"/>
        <v>1.0828762940856</v>
      </c>
    </row>
    <row r="190" spans="1:8" ht="16.5" customHeight="1">
      <c r="A190" s="234" t="str">
        <f>Recapagem!A190</f>
        <v>DEZEMBRO|18</v>
      </c>
      <c r="B190" s="233">
        <f>[236]LAVAGEM!$D$16</f>
        <v>430.6557692799999</v>
      </c>
      <c r="C190" s="207">
        <f t="shared" ref="C190" si="224">100*B190/B$8</f>
        <v>269.15985579999995</v>
      </c>
      <c r="D190" s="214">
        <f t="shared" ref="D190" si="225">100*(B190/B189-1)</f>
        <v>0</v>
      </c>
      <c r="E190" s="214">
        <f t="shared" ref="E190" si="226">100*(B190/B$178-1)</f>
        <v>4.4999999999999485</v>
      </c>
      <c r="F190" s="215">
        <f t="shared" ref="F190" si="227">(100*(B190/B178-1))</f>
        <v>4.4999999999999485</v>
      </c>
      <c r="G190" s="216">
        <f t="shared" ref="G190" si="228">100*(B190/B166-1)</f>
        <v>8.8634014544936015</v>
      </c>
      <c r="H190" s="209">
        <f t="shared" si="96"/>
        <v>1.0828762940856</v>
      </c>
    </row>
    <row r="191" spans="1:8" ht="16.5" customHeight="1">
      <c r="A191" s="234" t="str">
        <f>Recapagem!A191</f>
        <v>JANEIRO|19</v>
      </c>
      <c r="B191" s="233">
        <f>[237]LAVAGEM!$D$16</f>
        <v>430.6557692799999</v>
      </c>
      <c r="C191" s="207">
        <f t="shared" ref="C191" si="229">100*B191/B$8</f>
        <v>269.15985579999995</v>
      </c>
      <c r="D191" s="214">
        <f t="shared" ref="D191" si="230">100*(B191/B190-1)</f>
        <v>0</v>
      </c>
      <c r="E191" s="214">
        <f t="shared" ref="E191:E196" si="231">100*(B191/B$190-1)</f>
        <v>0</v>
      </c>
      <c r="F191" s="215">
        <f t="shared" ref="F191" si="232">(100*(B191/B179-1))</f>
        <v>4.4999999999999485</v>
      </c>
      <c r="G191" s="216">
        <f t="shared" ref="G191" si="233">100*(B191/B167-1)</f>
        <v>8.8634014544936015</v>
      </c>
      <c r="H191" s="209">
        <f t="shared" si="96"/>
        <v>1.0828762940856</v>
      </c>
    </row>
    <row r="192" spans="1:8" ht="16.5" customHeight="1">
      <c r="A192" s="273" t="str">
        <f>Recapagem!A192</f>
        <v>FEVEREIRO|19</v>
      </c>
      <c r="B192" s="274">
        <f>[238]LAVAGEM!$D$16</f>
        <v>430.6557692799999</v>
      </c>
      <c r="C192" s="275">
        <f t="shared" ref="C192" si="234">100*B192/B$8</f>
        <v>269.15985579999995</v>
      </c>
      <c r="D192" s="283">
        <f t="shared" ref="D192" si="235">100*(B192/B191-1)</f>
        <v>0</v>
      </c>
      <c r="E192" s="283">
        <f t="shared" si="231"/>
        <v>0</v>
      </c>
      <c r="F192" s="284">
        <f t="shared" ref="F192" si="236">(100*(B192/B180-1))</f>
        <v>4.4999999999999485</v>
      </c>
      <c r="G192" s="285">
        <f t="shared" ref="G192" si="237">100*(B192/B168-1)</f>
        <v>8.8634014544936015</v>
      </c>
      <c r="H192" s="209">
        <f t="shared" si="96"/>
        <v>1.0828762940856</v>
      </c>
    </row>
    <row r="193" spans="1:8" ht="16.5" customHeight="1">
      <c r="A193" s="196" t="str">
        <f>Recapagem!A193</f>
        <v>MARÇO|19</v>
      </c>
      <c r="B193" s="280">
        <f>[239]LAVAGEM!$D$16</f>
        <v>430.6557692799999</v>
      </c>
      <c r="C193" s="197">
        <f t="shared" ref="C193" si="238">100*B193/B$8</f>
        <v>269.15985579999995</v>
      </c>
      <c r="D193" s="198">
        <f t="shared" ref="D193" si="239">100*(B193/B192-1)</f>
        <v>0</v>
      </c>
      <c r="E193" s="198">
        <f t="shared" si="231"/>
        <v>0</v>
      </c>
      <c r="F193" s="199">
        <f t="shared" ref="F193" si="240">(100*(B193/B181-1))</f>
        <v>4.4999999999999485</v>
      </c>
      <c r="G193" s="200">
        <f t="shared" ref="G193" si="241">100*(B193/B169-1)</f>
        <v>8.8634014544936015</v>
      </c>
      <c r="H193" s="209">
        <f t="shared" si="96"/>
        <v>1.0828762940856</v>
      </c>
    </row>
    <row r="194" spans="1:8" ht="16.5" customHeight="1">
      <c r="A194" s="196" t="str">
        <f>Recapagem!A194</f>
        <v>ABRIL|19</v>
      </c>
      <c r="B194" s="280">
        <f>[240]LAVAGEM!$D$16</f>
        <v>430.6557692799999</v>
      </c>
      <c r="C194" s="197">
        <f t="shared" ref="C194" si="242">100*B194/B$8</f>
        <v>269.15985579999995</v>
      </c>
      <c r="D194" s="198">
        <f t="shared" ref="D194" si="243">100*(B194/B193-1)</f>
        <v>0</v>
      </c>
      <c r="E194" s="198">
        <f t="shared" si="231"/>
        <v>0</v>
      </c>
      <c r="F194" s="199">
        <f t="shared" ref="F194" si="244">(100*(B194/B182-1))</f>
        <v>4.4999999999999485</v>
      </c>
      <c r="G194" s="200">
        <f t="shared" ref="G194" si="245">100*(B194/B170-1)</f>
        <v>8.8634014544936015</v>
      </c>
      <c r="H194" s="209">
        <f t="shared" si="96"/>
        <v>1.0828762940856</v>
      </c>
    </row>
    <row r="195" spans="1:8" ht="16.5" customHeight="1">
      <c r="A195" s="196" t="str">
        <f>Recapagem!A195</f>
        <v>MAIO|19</v>
      </c>
      <c r="B195" s="280">
        <f>[241]LAVAGEM!$D$16</f>
        <v>430.6557692799999</v>
      </c>
      <c r="C195" s="197">
        <f t="shared" ref="C195" si="246">100*B195/B$8</f>
        <v>269.15985579999995</v>
      </c>
      <c r="D195" s="198">
        <f t="shared" ref="D195" si="247">100*(B195/B194-1)</f>
        <v>0</v>
      </c>
      <c r="E195" s="198">
        <f t="shared" si="231"/>
        <v>0</v>
      </c>
      <c r="F195" s="199">
        <f t="shared" ref="F195" si="248">(100*(B195/B183-1))</f>
        <v>4.4999999999999485</v>
      </c>
      <c r="G195" s="200">
        <f t="shared" ref="G195" si="249">100*(B195/B171-1)</f>
        <v>8.8634014544936015</v>
      </c>
      <c r="H195" s="209">
        <f t="shared" si="96"/>
        <v>1.0828762940856</v>
      </c>
    </row>
    <row r="196" spans="1:8" ht="16.5" customHeight="1">
      <c r="A196" s="196" t="str">
        <f>Recapagem!A196</f>
        <v>JUNHO|19</v>
      </c>
      <c r="B196" s="280">
        <f>[242]LAVAGEM!$D$16</f>
        <v>430.6557692799999</v>
      </c>
      <c r="C196" s="197">
        <f t="shared" ref="C196" si="250">100*B196/B$8</f>
        <v>269.15985579999995</v>
      </c>
      <c r="D196" s="198">
        <f t="shared" ref="D196" si="251">100*(B196/B195-1)</f>
        <v>0</v>
      </c>
      <c r="E196" s="198">
        <f t="shared" si="231"/>
        <v>0</v>
      </c>
      <c r="F196" s="199">
        <f t="shared" ref="F196" si="252">(100*(B196/B184-1))</f>
        <v>0</v>
      </c>
      <c r="G196" s="200">
        <f t="shared" ref="G196" si="253">100*(B196/B172-1)</f>
        <v>8.8634014544936015</v>
      </c>
      <c r="H196" s="209">
        <f t="shared" si="96"/>
        <v>1.0828762940856</v>
      </c>
    </row>
    <row r="197" spans="1:8" ht="16.5" customHeight="1">
      <c r="A197" s="196" t="str">
        <f>Recapagem!A197</f>
        <v>JULHO|19</v>
      </c>
      <c r="B197" s="280">
        <f>[243]LAVAGEM!$D$16</f>
        <v>451.00080913232568</v>
      </c>
      <c r="C197" s="197">
        <f t="shared" ref="C197" si="254">100*B197/B$8</f>
        <v>281.87550570770355</v>
      </c>
      <c r="D197" s="198">
        <f t="shared" ref="D197" si="255">100*(B197/B196-1)</f>
        <v>4.7242000000000006</v>
      </c>
      <c r="E197" s="198">
        <f t="shared" ref="E197" si="256">100*(B197/B$190-1)</f>
        <v>4.7242000000000006</v>
      </c>
      <c r="F197" s="199">
        <f t="shared" ref="F197" si="257">(100*(B197/B185-1))</f>
        <v>4.7242000000000006</v>
      </c>
      <c r="G197" s="200">
        <f t="shared" ref="G197" si="258">100*(B197/B173-1)</f>
        <v>14.006326266006797</v>
      </c>
      <c r="H197" s="209">
        <f t="shared" si="96"/>
        <v>1.0340267999999999</v>
      </c>
    </row>
    <row r="198" spans="1:8" ht="16.5" customHeight="1">
      <c r="A198" s="196" t="str">
        <f>Recapagem!A198</f>
        <v>AGOSTO|19</v>
      </c>
      <c r="B198" s="280">
        <f>[244]LAVAGEM!$D$16</f>
        <v>451.00080913232568</v>
      </c>
      <c r="C198" s="197">
        <f t="shared" ref="C198" si="259">100*B198/B$8</f>
        <v>281.87550570770355</v>
      </c>
      <c r="D198" s="198">
        <f t="shared" ref="D198" si="260">100*(B198/B197-1)</f>
        <v>0</v>
      </c>
      <c r="E198" s="198">
        <f t="shared" ref="E198" si="261">100*(B198/B$190-1)</f>
        <v>4.7242000000000006</v>
      </c>
      <c r="F198" s="199">
        <f t="shared" ref="F198" si="262">(100*(B198/B186-1))</f>
        <v>4.7242000000000006</v>
      </c>
      <c r="G198" s="200">
        <f t="shared" ref="G198" si="263">100*(B198/B174-1)</f>
        <v>9.4367889999999566</v>
      </c>
      <c r="H198" s="209">
        <f t="shared" si="96"/>
        <v>1.0340267999999999</v>
      </c>
    </row>
    <row r="199" spans="1:8" ht="16.5" customHeight="1">
      <c r="A199" s="196" t="str">
        <f>Recapagem!A199</f>
        <v>SETEMBRO|19</v>
      </c>
      <c r="B199" s="280">
        <f>[245]LAVAGEM!$D$16</f>
        <v>451.00080913232568</v>
      </c>
      <c r="C199" s="197">
        <f t="shared" ref="C199" si="264">100*B199/B$8</f>
        <v>281.87550570770355</v>
      </c>
      <c r="D199" s="198">
        <f t="shared" ref="D199" si="265">100*(B199/B198-1)</f>
        <v>0</v>
      </c>
      <c r="E199" s="198">
        <f t="shared" ref="E199" si="266">100*(B199/B$190-1)</f>
        <v>4.7242000000000006</v>
      </c>
      <c r="F199" s="199">
        <f t="shared" ref="F199" si="267">(100*(B199/B187-1))</f>
        <v>4.7242000000000006</v>
      </c>
      <c r="G199" s="200">
        <f t="shared" ref="G199" si="268">100*(B199/B175-1)</f>
        <v>9.4367889999999566</v>
      </c>
      <c r="H199" s="209">
        <f t="shared" si="96"/>
        <v>1.0340267999999999</v>
      </c>
    </row>
    <row r="200" spans="1:8" ht="16.5" customHeight="1">
      <c r="A200" s="196" t="str">
        <f>Recapagem!A200</f>
        <v>OUTUBRO|19</v>
      </c>
      <c r="B200" s="280">
        <f>[246]LAVAGEM!$D$16</f>
        <v>451.00080913232568</v>
      </c>
      <c r="C200" s="197">
        <f t="shared" ref="C200" si="269">100*B200/B$8</f>
        <v>281.87550570770355</v>
      </c>
      <c r="D200" s="198">
        <f t="shared" ref="D200" si="270">100*(B200/B199-1)</f>
        <v>0</v>
      </c>
      <c r="E200" s="198">
        <f t="shared" ref="E200" si="271">100*(B200/B$190-1)</f>
        <v>4.7242000000000006</v>
      </c>
      <c r="F200" s="199">
        <f t="shared" ref="F200" si="272">(100*(B200/B188-1))</f>
        <v>4.7242000000000006</v>
      </c>
      <c r="G200" s="200">
        <f t="shared" ref="G200" si="273">100*(B200/B176-1)</f>
        <v>9.4367889999999566</v>
      </c>
      <c r="H200" s="209">
        <f t="shared" si="96"/>
        <v>1.0340267999999999</v>
      </c>
    </row>
    <row r="201" spans="1:8" ht="16.5" customHeight="1">
      <c r="A201" s="196" t="str">
        <f>Recapagem!A201</f>
        <v>NOVEMBRO|19</v>
      </c>
      <c r="B201" s="280">
        <f>[247]LAVAGEM!$D$16</f>
        <v>451.00080913232568</v>
      </c>
      <c r="C201" s="197">
        <f t="shared" ref="C201" si="274">100*B201/B$8</f>
        <v>281.87550570770355</v>
      </c>
      <c r="D201" s="198">
        <f t="shared" ref="D201" si="275">100*(B201/B200-1)</f>
        <v>0</v>
      </c>
      <c r="E201" s="198">
        <f t="shared" ref="E201" si="276">100*(B201/B$190-1)</f>
        <v>4.7242000000000006</v>
      </c>
      <c r="F201" s="199">
        <f t="shared" ref="F201" si="277">(100*(B201/B189-1))</f>
        <v>4.7242000000000006</v>
      </c>
      <c r="G201" s="200">
        <f t="shared" ref="G201" si="278">100*(B201/B177-1)</f>
        <v>9.4367889999999566</v>
      </c>
      <c r="H201" s="209">
        <f t="shared" si="96"/>
        <v>1.0340267999999999</v>
      </c>
    </row>
    <row r="202" spans="1:8" ht="16.5" customHeight="1">
      <c r="A202" s="196" t="str">
        <f>Recapagem!A202</f>
        <v>DEZEMBRO|19</v>
      </c>
      <c r="B202" s="280">
        <f>[248]LAVAGEM!$D$16</f>
        <v>451.00080913232568</v>
      </c>
      <c r="C202" s="197">
        <f t="shared" ref="C202" si="279">100*B202/B$8</f>
        <v>281.87550570770355</v>
      </c>
      <c r="D202" s="198">
        <f t="shared" ref="D202" si="280">100*(B202/B201-1)</f>
        <v>0</v>
      </c>
      <c r="E202" s="198">
        <f t="shared" ref="E202" si="281">100*(B202/B$190-1)</f>
        <v>4.7242000000000006</v>
      </c>
      <c r="F202" s="199">
        <f t="shared" ref="F202" si="282">(100*(B202/B190-1))</f>
        <v>4.7242000000000006</v>
      </c>
      <c r="G202" s="200">
        <f t="shared" ref="G202" si="283">100*(B202/B178-1)</f>
        <v>9.4367889999999566</v>
      </c>
      <c r="H202" s="209">
        <f t="shared" si="96"/>
        <v>1.0340267999999999</v>
      </c>
    </row>
    <row r="203" spans="1:8" ht="16.5" customHeight="1">
      <c r="A203" s="196" t="str">
        <f>Recapagem!A203</f>
        <v>JANEIRO|20</v>
      </c>
      <c r="B203" s="280">
        <f>[249]LAVAGEM!$D$16</f>
        <v>451.00080913232568</v>
      </c>
      <c r="C203" s="197">
        <f t="shared" ref="C203" si="284">100*B203/B$8</f>
        <v>281.87550570770355</v>
      </c>
      <c r="D203" s="198">
        <f t="shared" ref="D203" si="285">100*(B203/B202-1)</f>
        <v>0</v>
      </c>
      <c r="E203" s="198">
        <f t="shared" ref="E203:E208" si="286">100*(B203/B$202-1)</f>
        <v>0</v>
      </c>
      <c r="F203" s="199">
        <f t="shared" ref="F203" si="287">(100*(B203/B191-1))</f>
        <v>4.7242000000000006</v>
      </c>
      <c r="G203" s="200">
        <f t="shared" ref="G203" si="288">100*(B203/B179-1)</f>
        <v>9.4367889999999566</v>
      </c>
      <c r="H203" s="209">
        <f t="shared" si="96"/>
        <v>1.0340267999999999</v>
      </c>
    </row>
    <row r="204" spans="1:8" ht="16.5" customHeight="1">
      <c r="A204" s="196" t="str">
        <f>Recapagem!A204</f>
        <v>FEVEREIRO|20</v>
      </c>
      <c r="B204" s="280">
        <f>[250]LAVAGEM!$D$16</f>
        <v>451.00080913232568</v>
      </c>
      <c r="C204" s="197">
        <f t="shared" ref="C204" si="289">100*B204/B$8</f>
        <v>281.87550570770355</v>
      </c>
      <c r="D204" s="198">
        <f t="shared" ref="D204" si="290">100*(B204/B203-1)</f>
        <v>0</v>
      </c>
      <c r="E204" s="198">
        <f t="shared" si="286"/>
        <v>0</v>
      </c>
      <c r="F204" s="199">
        <f t="shared" ref="F204" si="291">(100*(B204/B192-1))</f>
        <v>4.7242000000000006</v>
      </c>
      <c r="G204" s="200">
        <f t="shared" ref="G204" si="292">100*(B204/B180-1)</f>
        <v>9.4367889999999566</v>
      </c>
      <c r="H204" s="209">
        <f t="shared" si="96"/>
        <v>1.0340267999999999</v>
      </c>
    </row>
    <row r="205" spans="1:8" ht="16.5" customHeight="1">
      <c r="A205" s="196" t="str">
        <f>Recapagem!A205</f>
        <v>MARÇO|20</v>
      </c>
      <c r="B205" s="280">
        <f>[251]LAVAGEM!$D$16</f>
        <v>451.00080913232568</v>
      </c>
      <c r="C205" s="197">
        <f t="shared" ref="C205" si="293">100*B205/B$8</f>
        <v>281.87550570770355</v>
      </c>
      <c r="D205" s="198">
        <f t="shared" ref="D205" si="294">100*(B205/B204-1)</f>
        <v>0</v>
      </c>
      <c r="E205" s="198">
        <f t="shared" si="286"/>
        <v>0</v>
      </c>
      <c r="F205" s="199">
        <f t="shared" ref="F205" si="295">(100*(B205/B193-1))</f>
        <v>4.7242000000000006</v>
      </c>
      <c r="G205" s="200">
        <f t="shared" ref="G205" si="296">100*(B205/B181-1)</f>
        <v>9.4367889999999566</v>
      </c>
      <c r="H205" s="209">
        <f t="shared" si="96"/>
        <v>1.0340267999999999</v>
      </c>
    </row>
    <row r="206" spans="1:8" ht="16.5" customHeight="1">
      <c r="A206" s="196" t="str">
        <f>Recapagem!A206</f>
        <v>ABRIL|20</v>
      </c>
      <c r="B206" s="280">
        <f>[252]LAVAGEM!$D$16</f>
        <v>451.00080913232568</v>
      </c>
      <c r="C206" s="197">
        <f t="shared" ref="C206" si="297">100*B206/B$8</f>
        <v>281.87550570770355</v>
      </c>
      <c r="D206" s="198">
        <f t="shared" ref="D206" si="298">100*(B206/B205-1)</f>
        <v>0</v>
      </c>
      <c r="E206" s="198">
        <f t="shared" si="286"/>
        <v>0</v>
      </c>
      <c r="F206" s="199">
        <f t="shared" ref="F206" si="299">(100*(B206/B194-1))</f>
        <v>4.7242000000000006</v>
      </c>
      <c r="G206" s="200">
        <f t="shared" ref="G206" si="300">100*(B206/B182-1)</f>
        <v>9.4367889999999566</v>
      </c>
      <c r="H206" s="209">
        <f t="shared" si="96"/>
        <v>1.0340267999999999</v>
      </c>
    </row>
    <row r="207" spans="1:8" ht="16.5" customHeight="1">
      <c r="A207" s="196" t="str">
        <f>Recapagem!A207</f>
        <v>MAIO|20</v>
      </c>
      <c r="B207" s="280">
        <f>[253]LAVAGEM!$D$16</f>
        <v>451.00080913232568</v>
      </c>
      <c r="C207" s="197">
        <f t="shared" ref="C207" si="301">100*B207/B$8</f>
        <v>281.87550570770355</v>
      </c>
      <c r="D207" s="198">
        <f t="shared" ref="D207" si="302">100*(B207/B206-1)</f>
        <v>0</v>
      </c>
      <c r="E207" s="198">
        <f t="shared" si="286"/>
        <v>0</v>
      </c>
      <c r="F207" s="199">
        <f t="shared" ref="F207" si="303">(100*(B207/B195-1))</f>
        <v>4.7242000000000006</v>
      </c>
      <c r="G207" s="200">
        <f t="shared" ref="G207" si="304">100*(B207/B183-1)</f>
        <v>9.4367889999999566</v>
      </c>
      <c r="H207" s="209">
        <f t="shared" si="96"/>
        <v>1.0340267999999999</v>
      </c>
    </row>
    <row r="208" spans="1:8" ht="16.5" customHeight="1">
      <c r="A208" s="196" t="str">
        <f>Recapagem!A208</f>
        <v>JUNHO|20</v>
      </c>
      <c r="B208" s="280">
        <f>[254]LAVAGEM!$D$16</f>
        <v>451.00080913232568</v>
      </c>
      <c r="C208" s="197">
        <f t="shared" ref="C208" si="305">100*B208/B$8</f>
        <v>281.87550570770355</v>
      </c>
      <c r="D208" s="198">
        <f t="shared" ref="D208" si="306">100*(B208/B207-1)</f>
        <v>0</v>
      </c>
      <c r="E208" s="198">
        <f t="shared" si="286"/>
        <v>0</v>
      </c>
      <c r="F208" s="199">
        <f t="shared" ref="F208" si="307">(100*(B208/B196-1))</f>
        <v>4.7242000000000006</v>
      </c>
      <c r="G208" s="200">
        <f t="shared" ref="G208" si="308">100*(B208/B184-1)</f>
        <v>4.7242000000000006</v>
      </c>
      <c r="H208" s="209">
        <f t="shared" si="96"/>
        <v>1.0340267999999999</v>
      </c>
    </row>
    <row r="209" spans="1:10" ht="16.5" customHeight="1">
      <c r="A209" s="196" t="str">
        <f>Recapagem!A209</f>
        <v>JULHO|20</v>
      </c>
      <c r="B209" s="280">
        <f>[255]LAVAGEM!$D$16</f>
        <v>451.00080913232568</v>
      </c>
      <c r="C209" s="197">
        <f t="shared" ref="C209" si="309">100*B209/B$8</f>
        <v>281.87550570770355</v>
      </c>
      <c r="D209" s="198">
        <f t="shared" ref="D209" si="310">100*(B209/B208-1)</f>
        <v>0</v>
      </c>
      <c r="E209" s="198">
        <f t="shared" ref="E209" si="311">100*(B209/B$202-1)</f>
        <v>0</v>
      </c>
      <c r="F209" s="199">
        <f t="shared" ref="F209" si="312">(100*(B209/B197-1))</f>
        <v>0</v>
      </c>
      <c r="G209" s="200">
        <f t="shared" ref="G209" si="313">100*(B209/B185-1)</f>
        <v>4.7242000000000006</v>
      </c>
      <c r="H209" s="209">
        <f t="shared" si="96"/>
        <v>1.0340267999999999</v>
      </c>
    </row>
    <row r="210" spans="1:10" ht="16.5" customHeight="1">
      <c r="A210" s="196" t="str">
        <f>Recapagem!A210</f>
        <v>AGOSTO|20</v>
      </c>
      <c r="B210" s="280">
        <f>[256]LAVAGEM!$D$16</f>
        <v>451.00080913232568</v>
      </c>
      <c r="C210" s="197">
        <f t="shared" ref="C210" si="314">100*B210/B$8</f>
        <v>281.87550570770355</v>
      </c>
      <c r="D210" s="198">
        <f t="shared" ref="D210" si="315">100*(B210/B209-1)</f>
        <v>0</v>
      </c>
      <c r="E210" s="198">
        <f t="shared" ref="E210" si="316">100*(B210/B$202-1)</f>
        <v>0</v>
      </c>
      <c r="F210" s="199">
        <f t="shared" ref="F210" si="317">(100*(B210/B198-1))</f>
        <v>0</v>
      </c>
      <c r="G210" s="200">
        <f t="shared" ref="G210" si="318">100*(B210/B186-1)</f>
        <v>4.7242000000000006</v>
      </c>
      <c r="H210" s="279">
        <f t="shared" si="96"/>
        <v>1.0340267999999999</v>
      </c>
    </row>
    <row r="211" spans="1:10" ht="16.5" customHeight="1" thickBot="1">
      <c r="A211" s="151" t="str">
        <f>Recapagem!A211</f>
        <v>SETEMBRO|20</v>
      </c>
      <c r="B211" s="192">
        <f>[259]LAVAGEM!$D$16*1.0340268</f>
        <v>466.34692346450947</v>
      </c>
      <c r="C211" s="153">
        <f t="shared" ref="C211" si="319">100*B211/B$8</f>
        <v>291.46682716531842</v>
      </c>
      <c r="D211" s="154">
        <f t="shared" ref="D211" si="320">100*(B211/B210-1)</f>
        <v>3.4026799999999913</v>
      </c>
      <c r="E211" s="154">
        <f t="shared" ref="E211" si="321">100*(B211/B$202-1)</f>
        <v>3.4026799999999913</v>
      </c>
      <c r="F211" s="155">
        <f t="shared" ref="F211" si="322">(100*(B211/B199-1))</f>
        <v>3.4026799999999913</v>
      </c>
      <c r="G211" s="156">
        <f t="shared" ref="G211" si="323">100*(B211/B187-1)</f>
        <v>8.2876294085600044</v>
      </c>
      <c r="H211" s="157">
        <f t="shared" si="96"/>
        <v>1</v>
      </c>
      <c r="J211" s="67">
        <v>3.4026800000000001</v>
      </c>
    </row>
    <row r="212" spans="1:10">
      <c r="A212" s="125" t="s">
        <v>18</v>
      </c>
      <c r="B212" s="104"/>
      <c r="C212" s="104"/>
      <c r="D212" s="104"/>
      <c r="E212" s="104"/>
      <c r="F212" s="104"/>
      <c r="G212" s="104"/>
      <c r="H212" s="104"/>
    </row>
    <row r="213" spans="1:10">
      <c r="B213" s="104"/>
      <c r="C213" s="104"/>
      <c r="D213" s="104"/>
      <c r="E213" s="104"/>
      <c r="F213" s="104"/>
      <c r="G213" s="104"/>
      <c r="H213" s="104"/>
    </row>
    <row r="214" spans="1:10">
      <c r="B214" s="104"/>
      <c r="C214" s="104"/>
      <c r="D214" s="104"/>
      <c r="E214" s="104"/>
      <c r="F214" s="104"/>
      <c r="G214" s="104"/>
      <c r="H214" s="104"/>
    </row>
    <row r="215" spans="1:10">
      <c r="B215" s="104"/>
      <c r="C215" s="104"/>
      <c r="D215" s="104"/>
      <c r="E215" s="104"/>
      <c r="F215" s="104"/>
      <c r="G215" s="104"/>
      <c r="H215" s="104"/>
    </row>
    <row r="216" spans="1:10">
      <c r="B216" s="104"/>
      <c r="C216" s="104"/>
      <c r="D216" s="104"/>
      <c r="E216" s="104"/>
      <c r="F216" s="104"/>
      <c r="G216" s="104"/>
      <c r="H216" s="104"/>
    </row>
    <row r="217" spans="1:10">
      <c r="B217" s="104"/>
      <c r="C217" s="104"/>
      <c r="D217" s="104"/>
      <c r="E217" s="104"/>
      <c r="F217" s="104"/>
      <c r="G217" s="104"/>
      <c r="H217" s="104"/>
    </row>
    <row r="218" spans="1:10">
      <c r="B218" s="104"/>
      <c r="C218" s="104"/>
      <c r="D218" s="104"/>
      <c r="E218" s="104"/>
      <c r="F218" s="104"/>
      <c r="G218" s="104"/>
      <c r="H218" s="104"/>
    </row>
    <row r="219" spans="1:10">
      <c r="B219" s="104"/>
      <c r="C219" s="104"/>
      <c r="D219" s="104"/>
      <c r="E219" s="104"/>
      <c r="F219" s="104"/>
      <c r="G219" s="104"/>
      <c r="H219" s="104"/>
    </row>
    <row r="220" spans="1:10">
      <c r="B220" s="104"/>
      <c r="C220" s="104"/>
      <c r="D220" s="104"/>
      <c r="E220" s="104"/>
      <c r="F220" s="104"/>
      <c r="G220" s="104"/>
      <c r="H220" s="104"/>
    </row>
    <row r="221" spans="1:10">
      <c r="B221" s="104"/>
      <c r="C221" s="104"/>
      <c r="D221" s="104"/>
      <c r="E221" s="104"/>
      <c r="F221" s="104"/>
      <c r="G221" s="104"/>
      <c r="H221" s="104"/>
    </row>
    <row r="222" spans="1:10">
      <c r="B222" s="104"/>
      <c r="C222" s="104"/>
      <c r="D222" s="104"/>
      <c r="E222" s="104"/>
      <c r="F222" s="104"/>
      <c r="G222" s="104"/>
      <c r="H222" s="104"/>
    </row>
    <row r="223" spans="1:10">
      <c r="A223" s="105"/>
      <c r="B223" s="104"/>
      <c r="C223" s="104"/>
      <c r="D223" s="104"/>
      <c r="E223" s="104"/>
      <c r="F223" s="104"/>
      <c r="G223" s="104"/>
      <c r="H223" s="104"/>
    </row>
    <row r="224" spans="1:10">
      <c r="B224" s="104"/>
      <c r="C224" s="104"/>
      <c r="D224" s="104"/>
      <c r="E224" s="104"/>
      <c r="F224" s="104"/>
      <c r="G224" s="104"/>
      <c r="H224" s="104"/>
    </row>
    <row r="225" spans="1:8">
      <c r="B225" s="104"/>
      <c r="C225" s="104"/>
      <c r="D225" s="104"/>
      <c r="E225" s="104"/>
      <c r="F225" s="104"/>
      <c r="G225" s="104"/>
      <c r="H225" s="104"/>
    </row>
    <row r="226" spans="1:8">
      <c r="A226" s="106"/>
      <c r="B226" s="104"/>
      <c r="C226" s="104"/>
      <c r="D226" s="104"/>
      <c r="E226" s="104"/>
      <c r="F226" s="104"/>
      <c r="G226" s="104"/>
      <c r="H226" s="104"/>
    </row>
    <row r="227" spans="1:8">
      <c r="A227" s="106"/>
      <c r="B227" s="107"/>
      <c r="C227" s="107"/>
      <c r="D227" s="108"/>
      <c r="E227" s="107"/>
      <c r="F227" s="104"/>
      <c r="G227" s="104"/>
      <c r="H227" s="104"/>
    </row>
    <row r="228" spans="1:8">
      <c r="B228" s="104"/>
      <c r="C228" s="104"/>
      <c r="D228" s="104"/>
      <c r="E228" s="104"/>
      <c r="F228" s="104"/>
      <c r="G228" s="104"/>
      <c r="H228" s="104"/>
    </row>
    <row r="229" spans="1:8">
      <c r="B229" s="104"/>
      <c r="C229" s="104"/>
      <c r="D229" s="104"/>
      <c r="E229" s="104"/>
      <c r="F229" s="104"/>
      <c r="G229" s="104"/>
      <c r="H229" s="104"/>
    </row>
    <row r="230" spans="1:8">
      <c r="B230" s="104"/>
      <c r="C230" s="104"/>
      <c r="D230" s="104"/>
      <c r="E230" s="104"/>
      <c r="F230" s="104"/>
      <c r="G230" s="104"/>
      <c r="H230" s="104"/>
    </row>
    <row r="231" spans="1:8">
      <c r="B231" s="104"/>
      <c r="C231" s="104"/>
      <c r="D231" s="104"/>
      <c r="E231" s="104"/>
      <c r="F231" s="104"/>
      <c r="G231" s="104"/>
      <c r="H231" s="104"/>
    </row>
    <row r="232" spans="1:8">
      <c r="B232" s="104"/>
      <c r="C232" s="104"/>
      <c r="D232" s="104"/>
      <c r="E232" s="104"/>
      <c r="F232" s="104"/>
      <c r="G232" s="104"/>
      <c r="H232" s="104"/>
    </row>
    <row r="233" spans="1:8">
      <c r="B233" s="104"/>
      <c r="C233" s="104"/>
      <c r="D233" s="104"/>
      <c r="E233" s="104"/>
      <c r="F233" s="104"/>
      <c r="G233" s="104"/>
      <c r="H233" s="104"/>
    </row>
    <row r="234" spans="1:8">
      <c r="B234" s="104"/>
      <c r="C234" s="104"/>
      <c r="D234" s="104"/>
      <c r="E234" s="104"/>
      <c r="F234" s="104"/>
      <c r="G234" s="104"/>
      <c r="H234" s="104"/>
    </row>
    <row r="235" spans="1:8">
      <c r="B235" s="104"/>
      <c r="C235" s="104"/>
      <c r="D235" s="104"/>
      <c r="E235" s="104"/>
      <c r="F235" s="104"/>
      <c r="G235" s="104"/>
      <c r="H235" s="104"/>
    </row>
    <row r="236" spans="1:8">
      <c r="B236" s="104"/>
      <c r="C236" s="104"/>
      <c r="D236" s="104"/>
      <c r="E236" s="104"/>
      <c r="F236" s="104"/>
      <c r="G236" s="104"/>
      <c r="H236" s="104"/>
    </row>
    <row r="237" spans="1:8">
      <c r="B237" s="104"/>
      <c r="C237" s="104"/>
      <c r="D237" s="104"/>
      <c r="E237" s="104"/>
      <c r="F237" s="104"/>
      <c r="G237" s="104"/>
      <c r="H237" s="104"/>
    </row>
    <row r="238" spans="1:8">
      <c r="B238" s="104"/>
      <c r="C238" s="104"/>
      <c r="D238" s="104"/>
      <c r="E238" s="104"/>
      <c r="F238" s="104"/>
      <c r="G238" s="104"/>
      <c r="H238" s="104"/>
    </row>
    <row r="239" spans="1:8">
      <c r="B239" s="104"/>
      <c r="C239" s="104"/>
      <c r="D239" s="104"/>
      <c r="E239" s="104"/>
      <c r="F239" s="104"/>
      <c r="G239" s="104"/>
      <c r="H239" s="104"/>
    </row>
    <row r="240" spans="1:8">
      <c r="A240" s="105"/>
      <c r="B240" s="104"/>
      <c r="C240" s="104"/>
      <c r="D240" s="104"/>
      <c r="E240" s="104"/>
      <c r="F240" s="104"/>
      <c r="G240" s="104"/>
      <c r="H240" s="104"/>
    </row>
    <row r="241" spans="2:8">
      <c r="B241" s="104"/>
      <c r="C241" s="104"/>
      <c r="D241" s="104"/>
      <c r="E241" s="104"/>
      <c r="F241" s="104"/>
      <c r="G241" s="104"/>
      <c r="H241" s="104"/>
    </row>
    <row r="242" spans="2:8">
      <c r="B242" s="104"/>
      <c r="C242" s="104"/>
      <c r="D242" s="104"/>
      <c r="E242" s="104"/>
      <c r="F242" s="104"/>
      <c r="G242" s="104"/>
      <c r="H242" s="104"/>
    </row>
    <row r="243" spans="2:8">
      <c r="B243" s="104"/>
      <c r="C243" s="104"/>
      <c r="D243" s="104"/>
      <c r="E243" s="104"/>
      <c r="F243" s="104"/>
      <c r="G243" s="104"/>
      <c r="H243" s="104"/>
    </row>
    <row r="244" spans="2:8">
      <c r="B244" s="104"/>
      <c r="C244" s="104"/>
      <c r="D244" s="104"/>
      <c r="E244" s="104"/>
      <c r="F244" s="104"/>
      <c r="G244" s="104"/>
      <c r="H244" s="104"/>
    </row>
    <row r="245" spans="2:8">
      <c r="B245" s="104"/>
      <c r="C245" s="104"/>
      <c r="D245" s="104"/>
      <c r="E245" s="104"/>
      <c r="F245" s="104"/>
      <c r="G245" s="104"/>
      <c r="H245" s="104"/>
    </row>
    <row r="246" spans="2:8">
      <c r="B246" s="104"/>
      <c r="C246" s="104"/>
      <c r="D246" s="104"/>
      <c r="E246" s="104"/>
      <c r="F246" s="104"/>
      <c r="G246" s="104"/>
      <c r="H246" s="104"/>
    </row>
    <row r="247" spans="2:8">
      <c r="B247" s="104"/>
      <c r="C247" s="104"/>
      <c r="D247" s="104"/>
      <c r="E247" s="104"/>
      <c r="F247" s="104"/>
      <c r="G247" s="104"/>
      <c r="H247" s="104"/>
    </row>
    <row r="248" spans="2:8">
      <c r="B248" s="104"/>
      <c r="C248" s="104"/>
      <c r="D248" s="104"/>
      <c r="E248" s="104"/>
      <c r="F248" s="104"/>
      <c r="G248" s="104"/>
      <c r="H248" s="104"/>
    </row>
    <row r="249" spans="2:8">
      <c r="B249" s="104"/>
      <c r="C249" s="104"/>
      <c r="D249" s="104"/>
      <c r="E249" s="104"/>
      <c r="F249" s="104"/>
      <c r="G249" s="104"/>
      <c r="H249" s="104"/>
    </row>
    <row r="250" spans="2:8">
      <c r="B250" s="104"/>
      <c r="C250" s="104"/>
      <c r="D250" s="104"/>
      <c r="E250" s="104"/>
      <c r="F250" s="104"/>
      <c r="G250" s="104"/>
      <c r="H250" s="104"/>
    </row>
    <row r="251" spans="2:8">
      <c r="B251" s="104"/>
      <c r="C251" s="104"/>
      <c r="D251" s="104"/>
      <c r="E251" s="104"/>
      <c r="F251" s="104"/>
      <c r="G251" s="104"/>
      <c r="H251" s="104"/>
    </row>
    <row r="252" spans="2:8">
      <c r="B252" s="104"/>
      <c r="C252" s="104"/>
      <c r="D252" s="104"/>
      <c r="E252" s="104"/>
      <c r="F252" s="104"/>
      <c r="G252" s="104"/>
      <c r="H252" s="104"/>
    </row>
    <row r="253" spans="2:8">
      <c r="B253" s="104"/>
      <c r="C253" s="104"/>
      <c r="D253" s="104"/>
      <c r="E253" s="104"/>
      <c r="F253" s="104"/>
      <c r="G253" s="104"/>
      <c r="H253" s="104"/>
    </row>
    <row r="254" spans="2:8">
      <c r="B254" s="104"/>
      <c r="C254" s="104"/>
      <c r="D254" s="104"/>
      <c r="E254" s="104"/>
      <c r="F254" s="104"/>
      <c r="G254" s="104"/>
      <c r="H254" s="104"/>
    </row>
    <row r="255" spans="2:8">
      <c r="B255" s="104"/>
      <c r="C255" s="104"/>
      <c r="D255" s="104"/>
      <c r="E255" s="104"/>
      <c r="F255" s="104"/>
      <c r="G255" s="104"/>
      <c r="H255" s="104"/>
    </row>
    <row r="256" spans="2:8">
      <c r="B256" s="104"/>
      <c r="C256" s="104"/>
      <c r="D256" s="104"/>
      <c r="E256" s="104"/>
      <c r="F256" s="104"/>
      <c r="G256" s="104"/>
      <c r="H256" s="104"/>
    </row>
    <row r="257" spans="2:8">
      <c r="B257" s="104"/>
      <c r="C257" s="104"/>
      <c r="D257" s="104"/>
      <c r="E257" s="104"/>
      <c r="F257" s="104"/>
      <c r="G257" s="104"/>
      <c r="H257" s="104"/>
    </row>
    <row r="258" spans="2:8">
      <c r="B258" s="104"/>
      <c r="C258" s="104"/>
      <c r="D258" s="104"/>
      <c r="E258" s="104"/>
      <c r="F258" s="104"/>
      <c r="G258" s="104"/>
      <c r="H258" s="104"/>
    </row>
    <row r="259" spans="2:8">
      <c r="B259" s="104"/>
      <c r="C259" s="104"/>
      <c r="D259" s="104"/>
      <c r="E259" s="104"/>
      <c r="F259" s="104"/>
      <c r="G259" s="104"/>
      <c r="H259" s="104"/>
    </row>
    <row r="260" spans="2:8">
      <c r="B260" s="104"/>
      <c r="C260" s="104"/>
      <c r="D260" s="104"/>
      <c r="E260" s="104"/>
      <c r="F260" s="104"/>
      <c r="G260" s="104"/>
      <c r="H260" s="104"/>
    </row>
    <row r="261" spans="2:8">
      <c r="B261" s="104"/>
      <c r="C261" s="104"/>
      <c r="D261" s="104"/>
      <c r="E261" s="104"/>
      <c r="F261" s="104"/>
      <c r="G261" s="104"/>
      <c r="H261" s="104"/>
    </row>
    <row r="262" spans="2:8">
      <c r="B262" s="104"/>
      <c r="C262" s="104"/>
      <c r="D262" s="104"/>
      <c r="E262" s="104"/>
      <c r="F262" s="104"/>
      <c r="G262" s="104"/>
      <c r="H262" s="104"/>
    </row>
    <row r="263" spans="2:8">
      <c r="B263" s="104"/>
      <c r="C263" s="104"/>
      <c r="D263" s="104"/>
      <c r="E263" s="104"/>
      <c r="F263" s="104"/>
      <c r="G263" s="104"/>
      <c r="H263" s="104"/>
    </row>
    <row r="264" spans="2:8">
      <c r="B264" s="104"/>
      <c r="C264" s="104"/>
      <c r="D264" s="104"/>
      <c r="E264" s="104"/>
      <c r="F264" s="104"/>
      <c r="G264" s="104"/>
      <c r="H264" s="104"/>
    </row>
    <row r="265" spans="2:8">
      <c r="B265" s="104"/>
      <c r="C265" s="104"/>
      <c r="D265" s="104"/>
      <c r="E265" s="104"/>
      <c r="F265" s="104"/>
      <c r="G265" s="104"/>
      <c r="H265" s="104"/>
    </row>
    <row r="266" spans="2:8">
      <c r="B266" s="104"/>
      <c r="C266" s="104"/>
      <c r="D266" s="104"/>
      <c r="E266" s="104"/>
      <c r="F266" s="104"/>
      <c r="G266" s="104"/>
      <c r="H266" s="104"/>
    </row>
    <row r="267" spans="2:8">
      <c r="B267" s="104"/>
      <c r="C267" s="104"/>
      <c r="D267" s="104"/>
      <c r="E267" s="104"/>
      <c r="F267" s="104"/>
      <c r="G267" s="104"/>
      <c r="H267" s="104"/>
    </row>
    <row r="268" spans="2:8">
      <c r="B268" s="104"/>
      <c r="C268" s="104"/>
      <c r="D268" s="104"/>
      <c r="E268" s="104"/>
      <c r="F268" s="104"/>
      <c r="G268" s="104"/>
      <c r="H268" s="104"/>
    </row>
    <row r="269" spans="2:8">
      <c r="B269" s="104"/>
      <c r="C269" s="104"/>
      <c r="D269" s="104"/>
      <c r="E269" s="104"/>
      <c r="F269" s="104"/>
      <c r="G269" s="104"/>
      <c r="H269" s="104"/>
    </row>
    <row r="270" spans="2:8">
      <c r="B270" s="104"/>
      <c r="C270" s="104"/>
      <c r="D270" s="104"/>
      <c r="E270" s="104"/>
      <c r="F270" s="104"/>
      <c r="G270" s="104"/>
      <c r="H270" s="104"/>
    </row>
    <row r="271" spans="2:8">
      <c r="B271" s="104"/>
      <c r="C271" s="104"/>
      <c r="D271" s="104"/>
      <c r="E271" s="104"/>
      <c r="F271" s="104"/>
      <c r="G271" s="104"/>
      <c r="H271" s="104"/>
    </row>
    <row r="272" spans="2:8">
      <c r="B272" s="104"/>
      <c r="C272" s="104"/>
      <c r="D272" s="104"/>
      <c r="E272" s="104"/>
      <c r="F272" s="104"/>
      <c r="G272" s="104"/>
      <c r="H272" s="104"/>
    </row>
    <row r="273" spans="2:8">
      <c r="B273" s="104"/>
      <c r="C273" s="104"/>
      <c r="D273" s="104"/>
      <c r="E273" s="104"/>
      <c r="F273" s="104"/>
      <c r="G273" s="104"/>
      <c r="H273" s="104"/>
    </row>
    <row r="274" spans="2:8">
      <c r="B274" s="104"/>
      <c r="C274" s="104"/>
      <c r="D274" s="104"/>
      <c r="E274" s="104"/>
      <c r="F274" s="104"/>
      <c r="G274" s="104"/>
      <c r="H274" s="104"/>
    </row>
    <row r="275" spans="2:8">
      <c r="B275" s="104"/>
      <c r="C275" s="104"/>
      <c r="D275" s="104"/>
      <c r="E275" s="104"/>
      <c r="F275" s="104"/>
      <c r="G275" s="104"/>
      <c r="H275" s="104"/>
    </row>
    <row r="276" spans="2:8">
      <c r="B276" s="104"/>
      <c r="C276" s="104"/>
      <c r="D276" s="104"/>
      <c r="E276" s="104"/>
      <c r="F276" s="104"/>
      <c r="G276" s="104"/>
      <c r="H276" s="104"/>
    </row>
    <row r="277" spans="2:8">
      <c r="B277" s="104"/>
      <c r="C277" s="104"/>
      <c r="D277" s="104"/>
      <c r="E277" s="104"/>
      <c r="F277" s="104"/>
      <c r="G277" s="104"/>
      <c r="H277" s="104"/>
    </row>
    <row r="278" spans="2:8">
      <c r="B278" s="104"/>
      <c r="C278" s="104"/>
      <c r="D278" s="104"/>
      <c r="E278" s="104"/>
      <c r="F278" s="104"/>
      <c r="G278" s="104"/>
      <c r="H278" s="104"/>
    </row>
    <row r="279" spans="2:8">
      <c r="B279" s="104"/>
      <c r="C279" s="104"/>
      <c r="D279" s="104"/>
      <c r="E279" s="104"/>
      <c r="F279" s="104"/>
      <c r="G279" s="104"/>
      <c r="H279" s="104"/>
    </row>
    <row r="280" spans="2:8">
      <c r="B280" s="104"/>
      <c r="C280" s="104"/>
      <c r="D280" s="104"/>
      <c r="E280" s="104"/>
      <c r="F280" s="104"/>
      <c r="G280" s="104"/>
      <c r="H280" s="104"/>
    </row>
    <row r="281" spans="2:8">
      <c r="B281" s="104"/>
      <c r="C281" s="104"/>
      <c r="D281" s="104"/>
      <c r="E281" s="104"/>
      <c r="F281" s="104"/>
      <c r="G281" s="104"/>
      <c r="H281" s="104"/>
    </row>
    <row r="282" spans="2:8">
      <c r="B282" s="104"/>
      <c r="C282" s="104"/>
      <c r="D282" s="104"/>
      <c r="E282" s="104"/>
      <c r="F282" s="104"/>
      <c r="G282" s="104"/>
      <c r="H282" s="104"/>
    </row>
    <row r="283" spans="2:8">
      <c r="B283" s="104"/>
      <c r="C283" s="104"/>
      <c r="D283" s="104"/>
      <c r="E283" s="104"/>
      <c r="F283" s="104"/>
      <c r="G283" s="104"/>
      <c r="H283" s="104"/>
    </row>
    <row r="284" spans="2:8">
      <c r="B284" s="104"/>
      <c r="C284" s="104"/>
      <c r="D284" s="104"/>
      <c r="E284" s="104"/>
      <c r="F284" s="104"/>
      <c r="G284" s="104"/>
      <c r="H284" s="104"/>
    </row>
    <row r="285" spans="2:8">
      <c r="B285" s="104"/>
      <c r="C285" s="104"/>
      <c r="D285" s="104"/>
      <c r="E285" s="104"/>
      <c r="F285" s="104"/>
      <c r="G285" s="104"/>
      <c r="H285" s="104"/>
    </row>
    <row r="286" spans="2:8">
      <c r="B286" s="104"/>
      <c r="C286" s="104"/>
      <c r="D286" s="104"/>
      <c r="E286" s="104"/>
      <c r="F286" s="104"/>
      <c r="G286" s="104"/>
      <c r="H286" s="104"/>
    </row>
    <row r="287" spans="2:8">
      <c r="B287" s="104"/>
      <c r="C287" s="104"/>
      <c r="D287" s="104"/>
      <c r="E287" s="104"/>
      <c r="F287" s="104"/>
      <c r="G287" s="104"/>
      <c r="H287" s="104"/>
    </row>
    <row r="288" spans="2:8">
      <c r="B288" s="104"/>
      <c r="C288" s="104"/>
      <c r="D288" s="104"/>
      <c r="E288" s="104"/>
      <c r="F288" s="104"/>
      <c r="G288" s="104"/>
      <c r="H288" s="104"/>
    </row>
    <row r="289" spans="2:8">
      <c r="B289" s="104"/>
      <c r="C289" s="104"/>
      <c r="D289" s="104"/>
      <c r="E289" s="104"/>
      <c r="F289" s="104"/>
      <c r="G289" s="104"/>
      <c r="H289" s="104"/>
    </row>
    <row r="290" spans="2:8">
      <c r="B290" s="104"/>
      <c r="C290" s="104"/>
      <c r="D290" s="104"/>
      <c r="E290" s="104"/>
      <c r="F290" s="104"/>
      <c r="G290" s="104"/>
      <c r="H290" s="104"/>
    </row>
    <row r="291" spans="2:8">
      <c r="B291" s="104"/>
      <c r="C291" s="104"/>
      <c r="D291" s="104"/>
      <c r="E291" s="104"/>
      <c r="F291" s="104"/>
      <c r="G291" s="104"/>
      <c r="H291" s="104"/>
    </row>
    <row r="292" spans="2:8">
      <c r="B292" s="104"/>
      <c r="C292" s="104"/>
      <c r="D292" s="104"/>
      <c r="E292" s="104"/>
      <c r="F292" s="104"/>
      <c r="G292" s="104"/>
      <c r="H292" s="104"/>
    </row>
    <row r="293" spans="2:8">
      <c r="B293" s="104"/>
      <c r="C293" s="104"/>
      <c r="D293" s="104"/>
      <c r="E293" s="104"/>
      <c r="F293" s="104"/>
      <c r="G293" s="104"/>
      <c r="H293" s="104"/>
    </row>
    <row r="294" spans="2:8">
      <c r="B294" s="104"/>
      <c r="C294" s="104"/>
      <c r="D294" s="104"/>
      <c r="E294" s="104"/>
      <c r="F294" s="104"/>
      <c r="G294" s="104"/>
      <c r="H294" s="104"/>
    </row>
    <row r="295" spans="2:8">
      <c r="B295" s="104"/>
      <c r="C295" s="104"/>
      <c r="D295" s="104"/>
      <c r="E295" s="104"/>
      <c r="F295" s="104"/>
      <c r="G295" s="104"/>
      <c r="H295" s="104"/>
    </row>
    <row r="296" spans="2:8">
      <c r="B296" s="104"/>
      <c r="C296" s="104"/>
      <c r="D296" s="104"/>
      <c r="E296" s="104"/>
      <c r="F296" s="104"/>
      <c r="G296" s="104"/>
      <c r="H296" s="104"/>
    </row>
    <row r="297" spans="2:8">
      <c r="B297" s="104"/>
      <c r="C297" s="104"/>
      <c r="D297" s="104"/>
      <c r="E297" s="104"/>
      <c r="F297" s="104"/>
      <c r="G297" s="104"/>
      <c r="H297" s="104"/>
    </row>
    <row r="298" spans="2:8">
      <c r="B298" s="104"/>
      <c r="C298" s="104"/>
      <c r="D298" s="104"/>
      <c r="E298" s="104"/>
      <c r="F298" s="104"/>
      <c r="G298" s="104"/>
      <c r="H298" s="104"/>
    </row>
    <row r="299" spans="2:8">
      <c r="B299" s="104"/>
      <c r="C299" s="104"/>
      <c r="D299" s="104"/>
      <c r="E299" s="104"/>
      <c r="F299" s="104"/>
      <c r="G299" s="104"/>
      <c r="H299" s="104"/>
    </row>
    <row r="300" spans="2:8">
      <c r="B300" s="104"/>
      <c r="C300" s="104"/>
      <c r="D300" s="104"/>
      <c r="E300" s="104"/>
      <c r="F300" s="104"/>
      <c r="G300" s="104"/>
      <c r="H300" s="104"/>
    </row>
    <row r="301" spans="2:8">
      <c r="B301" s="104"/>
      <c r="C301" s="104"/>
      <c r="D301" s="104"/>
      <c r="E301" s="104"/>
      <c r="F301" s="104"/>
      <c r="G301" s="104"/>
      <c r="H301" s="104"/>
    </row>
    <row r="302" spans="2:8">
      <c r="B302" s="104"/>
      <c r="C302" s="104"/>
      <c r="D302" s="104"/>
      <c r="E302" s="104"/>
      <c r="F302" s="104"/>
      <c r="G302" s="104"/>
      <c r="H302" s="104"/>
    </row>
    <row r="303" spans="2:8">
      <c r="B303" s="104"/>
      <c r="C303" s="104"/>
      <c r="D303" s="104"/>
      <c r="E303" s="104"/>
      <c r="F303" s="104"/>
      <c r="G303" s="104"/>
      <c r="H303" s="104"/>
    </row>
    <row r="304" spans="2:8">
      <c r="B304" s="104"/>
      <c r="C304" s="104"/>
      <c r="D304" s="104"/>
      <c r="E304" s="104"/>
      <c r="F304" s="104"/>
      <c r="G304" s="104"/>
      <c r="H304" s="104"/>
    </row>
    <row r="305" spans="2:8">
      <c r="B305" s="104"/>
      <c r="C305" s="104"/>
      <c r="D305" s="104"/>
      <c r="E305" s="104"/>
      <c r="F305" s="104"/>
      <c r="G305" s="104"/>
      <c r="H305" s="104"/>
    </row>
    <row r="306" spans="2:8">
      <c r="B306" s="104"/>
      <c r="C306" s="104"/>
      <c r="D306" s="104"/>
      <c r="E306" s="104"/>
      <c r="F306" s="104"/>
      <c r="G306" s="104"/>
      <c r="H306" s="104"/>
    </row>
    <row r="307" spans="2:8">
      <c r="B307" s="104"/>
      <c r="C307" s="104"/>
      <c r="D307" s="104"/>
      <c r="E307" s="104"/>
      <c r="F307" s="104"/>
      <c r="G307" s="104"/>
      <c r="H307" s="104"/>
    </row>
    <row r="308" spans="2:8">
      <c r="B308" s="104"/>
      <c r="C308" s="104"/>
      <c r="D308" s="104"/>
      <c r="E308" s="104"/>
      <c r="F308" s="104"/>
      <c r="G308" s="104"/>
      <c r="H308" s="104"/>
    </row>
    <row r="309" spans="2:8">
      <c r="B309" s="104"/>
      <c r="C309" s="104"/>
      <c r="D309" s="104"/>
      <c r="E309" s="104"/>
      <c r="F309" s="104"/>
      <c r="G309" s="104"/>
      <c r="H309" s="104"/>
    </row>
    <row r="310" spans="2:8">
      <c r="B310" s="104"/>
      <c r="C310" s="104"/>
      <c r="D310" s="104"/>
      <c r="E310" s="104"/>
      <c r="F310" s="104"/>
      <c r="G310" s="104"/>
      <c r="H310" s="104"/>
    </row>
    <row r="311" spans="2:8">
      <c r="B311" s="104"/>
      <c r="C311" s="104"/>
      <c r="D311" s="104"/>
      <c r="E311" s="104"/>
      <c r="F311" s="104"/>
      <c r="G311" s="104"/>
      <c r="H311" s="104"/>
    </row>
    <row r="312" spans="2:8">
      <c r="B312" s="104"/>
      <c r="C312" s="104"/>
      <c r="D312" s="104"/>
      <c r="E312" s="104"/>
      <c r="F312" s="104"/>
      <c r="G312" s="104"/>
      <c r="H312" s="104"/>
    </row>
    <row r="313" spans="2:8">
      <c r="B313" s="104"/>
      <c r="C313" s="104"/>
      <c r="D313" s="104"/>
      <c r="E313" s="104"/>
      <c r="F313" s="104"/>
      <c r="G313" s="104"/>
      <c r="H313" s="104"/>
    </row>
    <row r="314" spans="2:8">
      <c r="B314" s="104"/>
      <c r="C314" s="104"/>
      <c r="D314" s="104"/>
      <c r="E314" s="104"/>
      <c r="F314" s="104"/>
      <c r="G314" s="104"/>
      <c r="H314" s="104"/>
    </row>
    <row r="315" spans="2:8">
      <c r="B315" s="104"/>
      <c r="C315" s="104"/>
      <c r="D315" s="104"/>
      <c r="E315" s="104"/>
      <c r="F315" s="104"/>
      <c r="G315" s="104"/>
      <c r="H315" s="104"/>
    </row>
    <row r="316" spans="2:8">
      <c r="B316" s="104"/>
      <c r="C316" s="104"/>
      <c r="D316" s="104"/>
      <c r="E316" s="104"/>
      <c r="F316" s="104"/>
      <c r="G316" s="104"/>
      <c r="H316" s="104"/>
    </row>
    <row r="317" spans="2:8">
      <c r="B317" s="104"/>
      <c r="C317" s="104"/>
      <c r="D317" s="104"/>
      <c r="E317" s="104"/>
      <c r="F317" s="104"/>
      <c r="G317" s="104"/>
      <c r="H317" s="104"/>
    </row>
    <row r="318" spans="2:8">
      <c r="B318" s="104"/>
      <c r="C318" s="104"/>
      <c r="D318" s="104"/>
      <c r="E318" s="104"/>
      <c r="F318" s="104"/>
      <c r="G318" s="104"/>
      <c r="H318" s="104"/>
    </row>
    <row r="319" spans="2:8">
      <c r="B319" s="104"/>
      <c r="C319" s="104"/>
      <c r="D319" s="104"/>
      <c r="E319" s="104"/>
      <c r="F319" s="104"/>
      <c r="G319" s="104"/>
      <c r="H319" s="104"/>
    </row>
    <row r="320" spans="2:8">
      <c r="B320" s="104"/>
      <c r="C320" s="104"/>
      <c r="D320" s="104"/>
      <c r="E320" s="104"/>
      <c r="F320" s="104"/>
      <c r="G320" s="104"/>
      <c r="H320" s="104"/>
    </row>
    <row r="321" spans="2:8">
      <c r="B321" s="104"/>
      <c r="C321" s="104"/>
      <c r="D321" s="104"/>
      <c r="E321" s="104"/>
      <c r="F321" s="104"/>
      <c r="G321" s="104"/>
      <c r="H321" s="104"/>
    </row>
    <row r="322" spans="2:8">
      <c r="B322" s="104"/>
      <c r="C322" s="104"/>
      <c r="D322" s="104"/>
      <c r="E322" s="104"/>
      <c r="F322" s="104"/>
      <c r="G322" s="104"/>
      <c r="H322" s="104"/>
    </row>
    <row r="323" spans="2:8">
      <c r="B323" s="104"/>
      <c r="C323" s="104"/>
      <c r="D323" s="104"/>
      <c r="E323" s="104"/>
      <c r="F323" s="104"/>
      <c r="G323" s="104"/>
      <c r="H323" s="104"/>
    </row>
    <row r="324" spans="2:8">
      <c r="B324" s="104"/>
      <c r="C324" s="104"/>
      <c r="D324" s="104"/>
      <c r="E324" s="104"/>
      <c r="F324" s="104"/>
      <c r="G324" s="104"/>
      <c r="H324" s="104"/>
    </row>
    <row r="325" spans="2:8">
      <c r="B325" s="104"/>
      <c r="C325" s="104"/>
      <c r="D325" s="104"/>
      <c r="E325" s="104"/>
      <c r="F325" s="104"/>
      <c r="G325" s="104"/>
      <c r="H325" s="104"/>
    </row>
    <row r="326" spans="2:8">
      <c r="B326" s="104"/>
      <c r="C326" s="104"/>
      <c r="D326" s="104"/>
      <c r="E326" s="104"/>
      <c r="F326" s="104"/>
      <c r="G326" s="104"/>
      <c r="H326" s="104"/>
    </row>
    <row r="327" spans="2:8">
      <c r="B327" s="104"/>
      <c r="C327" s="104"/>
      <c r="D327" s="104"/>
      <c r="E327" s="104"/>
      <c r="F327" s="104"/>
      <c r="G327" s="104"/>
      <c r="H327" s="104"/>
    </row>
    <row r="328" spans="2:8">
      <c r="B328" s="104"/>
      <c r="C328" s="104"/>
      <c r="D328" s="104"/>
      <c r="E328" s="104"/>
      <c r="F328" s="104"/>
      <c r="G328" s="104"/>
      <c r="H328" s="104"/>
    </row>
    <row r="329" spans="2:8">
      <c r="B329" s="104"/>
      <c r="C329" s="104"/>
      <c r="D329" s="104"/>
      <c r="E329" s="104"/>
      <c r="F329" s="104"/>
      <c r="G329" s="104"/>
      <c r="H329" s="104"/>
    </row>
    <row r="330" spans="2:8">
      <c r="B330" s="104"/>
      <c r="C330" s="104"/>
      <c r="D330" s="104"/>
      <c r="E330" s="104"/>
      <c r="F330" s="104"/>
      <c r="G330" s="104"/>
      <c r="H330" s="104"/>
    </row>
    <row r="331" spans="2:8">
      <c r="B331" s="104"/>
      <c r="C331" s="104"/>
      <c r="D331" s="104"/>
      <c r="E331" s="104"/>
      <c r="F331" s="104"/>
      <c r="G331" s="104"/>
      <c r="H331" s="104"/>
    </row>
    <row r="332" spans="2:8">
      <c r="B332" s="104"/>
      <c r="C332" s="104"/>
      <c r="D332" s="104"/>
      <c r="E332" s="104"/>
      <c r="F332" s="104"/>
      <c r="G332" s="104"/>
      <c r="H332" s="104"/>
    </row>
    <row r="333" spans="2:8">
      <c r="B333" s="104"/>
      <c r="C333" s="104"/>
      <c r="D333" s="104"/>
      <c r="E333" s="104"/>
      <c r="F333" s="104"/>
      <c r="G333" s="104"/>
      <c r="H333" s="104"/>
    </row>
    <row r="334" spans="2:8">
      <c r="B334" s="104"/>
      <c r="C334" s="104"/>
      <c r="D334" s="104"/>
      <c r="E334" s="104"/>
      <c r="F334" s="104"/>
      <c r="G334" s="104"/>
      <c r="H334" s="104"/>
    </row>
    <row r="335" spans="2:8">
      <c r="B335" s="104"/>
      <c r="C335" s="104"/>
      <c r="D335" s="104"/>
      <c r="E335" s="104"/>
      <c r="F335" s="104"/>
      <c r="G335" s="104"/>
      <c r="H335" s="104"/>
    </row>
    <row r="336" spans="2:8">
      <c r="B336" s="104"/>
      <c r="C336" s="104"/>
      <c r="D336" s="104"/>
      <c r="E336" s="104"/>
      <c r="F336" s="104"/>
      <c r="G336" s="104"/>
      <c r="H336" s="104"/>
    </row>
    <row r="337" spans="2:8">
      <c r="B337" s="104"/>
      <c r="C337" s="104"/>
      <c r="D337" s="104"/>
      <c r="E337" s="104"/>
      <c r="F337" s="104"/>
      <c r="G337" s="104"/>
      <c r="H337" s="104"/>
    </row>
    <row r="338" spans="2:8">
      <c r="B338" s="104"/>
      <c r="C338" s="104"/>
      <c r="D338" s="104"/>
      <c r="E338" s="104"/>
      <c r="F338" s="104"/>
      <c r="G338" s="104"/>
      <c r="H338" s="104"/>
    </row>
    <row r="339" spans="2:8">
      <c r="B339" s="104"/>
      <c r="C339" s="104"/>
      <c r="D339" s="104"/>
      <c r="E339" s="104"/>
      <c r="F339" s="104"/>
      <c r="G339" s="104"/>
      <c r="H339" s="104"/>
    </row>
    <row r="340" spans="2:8">
      <c r="B340" s="104"/>
      <c r="C340" s="104"/>
      <c r="D340" s="104"/>
      <c r="E340" s="104"/>
      <c r="F340" s="104"/>
      <c r="G340" s="104"/>
      <c r="H340" s="104"/>
    </row>
    <row r="341" spans="2:8">
      <c r="B341" s="104"/>
      <c r="C341" s="104"/>
      <c r="D341" s="104"/>
      <c r="E341" s="104"/>
      <c r="F341" s="104"/>
      <c r="G341" s="104"/>
      <c r="H341" s="104"/>
    </row>
    <row r="342" spans="2:8">
      <c r="B342" s="104"/>
      <c r="C342" s="104"/>
      <c r="D342" s="104"/>
      <c r="E342" s="104"/>
      <c r="F342" s="104"/>
      <c r="G342" s="104"/>
      <c r="H342" s="104"/>
    </row>
    <row r="343" spans="2:8">
      <c r="B343" s="104"/>
      <c r="C343" s="104"/>
      <c r="D343" s="104"/>
      <c r="E343" s="104"/>
      <c r="F343" s="104"/>
      <c r="G343" s="104"/>
      <c r="H343" s="104"/>
    </row>
    <row r="344" spans="2:8">
      <c r="B344" s="104"/>
      <c r="C344" s="104"/>
      <c r="D344" s="104"/>
      <c r="E344" s="104"/>
      <c r="F344" s="104"/>
      <c r="G344" s="104"/>
      <c r="H344" s="104"/>
    </row>
    <row r="345" spans="2:8">
      <c r="B345" s="104"/>
      <c r="C345" s="104"/>
      <c r="D345" s="104"/>
      <c r="E345" s="104"/>
      <c r="F345" s="104"/>
      <c r="G345" s="104"/>
      <c r="H345" s="104"/>
    </row>
    <row r="346" spans="2:8">
      <c r="B346" s="104"/>
      <c r="C346" s="104"/>
      <c r="D346" s="104"/>
      <c r="E346" s="104"/>
      <c r="F346" s="104"/>
      <c r="G346" s="104"/>
      <c r="H346" s="104"/>
    </row>
    <row r="347" spans="2:8">
      <c r="B347" s="104"/>
      <c r="C347" s="104"/>
      <c r="D347" s="104"/>
      <c r="E347" s="104"/>
      <c r="F347" s="104"/>
      <c r="G347" s="104"/>
      <c r="H347" s="104"/>
    </row>
    <row r="348" spans="2:8">
      <c r="B348" s="104"/>
      <c r="C348" s="104"/>
      <c r="D348" s="104"/>
      <c r="E348" s="104"/>
      <c r="F348" s="104"/>
      <c r="G348" s="104"/>
      <c r="H348" s="104"/>
    </row>
    <row r="349" spans="2:8">
      <c r="B349" s="104"/>
      <c r="C349" s="104"/>
      <c r="D349" s="104"/>
      <c r="E349" s="104"/>
      <c r="F349" s="104"/>
      <c r="G349" s="104"/>
      <c r="H349" s="104"/>
    </row>
    <row r="350" spans="2:8">
      <c r="B350" s="104"/>
      <c r="C350" s="104"/>
      <c r="D350" s="104"/>
      <c r="E350" s="104"/>
      <c r="F350" s="104"/>
      <c r="G350" s="104"/>
      <c r="H350" s="104"/>
    </row>
    <row r="351" spans="2:8">
      <c r="B351" s="104"/>
      <c r="C351" s="104"/>
      <c r="D351" s="104"/>
      <c r="E351" s="104"/>
      <c r="F351" s="104"/>
      <c r="G351" s="104"/>
      <c r="H351" s="104"/>
    </row>
    <row r="352" spans="2:8">
      <c r="B352" s="104"/>
      <c r="C352" s="104"/>
      <c r="D352" s="104"/>
      <c r="E352" s="104"/>
      <c r="F352" s="104"/>
      <c r="G352" s="104"/>
      <c r="H352" s="104"/>
    </row>
    <row r="353" spans="2:8">
      <c r="B353" s="104"/>
      <c r="C353" s="104"/>
      <c r="D353" s="104"/>
      <c r="E353" s="104"/>
      <c r="F353" s="104"/>
      <c r="G353" s="104"/>
      <c r="H353" s="104"/>
    </row>
    <row r="354" spans="2:8">
      <c r="B354" s="104"/>
      <c r="C354" s="104"/>
      <c r="D354" s="104"/>
      <c r="E354" s="104"/>
      <c r="F354" s="104"/>
      <c r="G354" s="104"/>
      <c r="H354" s="104"/>
    </row>
    <row r="355" spans="2:8">
      <c r="B355" s="104"/>
      <c r="C355" s="104"/>
      <c r="D355" s="104"/>
      <c r="E355" s="104"/>
      <c r="F355" s="104"/>
      <c r="G355" s="104"/>
      <c r="H355" s="104"/>
    </row>
    <row r="356" spans="2:8">
      <c r="B356" s="104"/>
      <c r="C356" s="104"/>
      <c r="D356" s="104"/>
      <c r="E356" s="104"/>
      <c r="F356" s="104"/>
      <c r="G356" s="104"/>
      <c r="H356" s="104"/>
    </row>
    <row r="357" spans="2:8">
      <c r="B357" s="104"/>
      <c r="C357" s="104"/>
      <c r="D357" s="104"/>
      <c r="E357" s="104"/>
      <c r="F357" s="104"/>
      <c r="G357" s="104"/>
      <c r="H357" s="104"/>
    </row>
    <row r="358" spans="2:8">
      <c r="B358" s="104"/>
      <c r="C358" s="104"/>
      <c r="D358" s="104"/>
      <c r="E358" s="104"/>
      <c r="F358" s="104"/>
      <c r="G358" s="104"/>
      <c r="H358" s="104"/>
    </row>
    <row r="359" spans="2:8">
      <c r="B359" s="104"/>
      <c r="C359" s="104"/>
      <c r="D359" s="104"/>
      <c r="E359" s="104"/>
      <c r="F359" s="104"/>
      <c r="G359" s="104"/>
      <c r="H359" s="104"/>
    </row>
    <row r="360" spans="2:8">
      <c r="B360" s="104"/>
      <c r="C360" s="104"/>
      <c r="D360" s="104"/>
      <c r="E360" s="104"/>
      <c r="F360" s="104"/>
      <c r="G360" s="104"/>
      <c r="H360" s="104"/>
    </row>
    <row r="361" spans="2:8">
      <c r="B361" s="104"/>
      <c r="C361" s="104"/>
      <c r="D361" s="104"/>
      <c r="E361" s="104"/>
      <c r="F361" s="104"/>
      <c r="G361" s="104"/>
      <c r="H361" s="104"/>
    </row>
    <row r="362" spans="2:8">
      <c r="B362" s="104"/>
      <c r="C362" s="104"/>
      <c r="D362" s="104"/>
      <c r="E362" s="104"/>
      <c r="F362" s="104"/>
      <c r="G362" s="104"/>
      <c r="H362" s="104"/>
    </row>
    <row r="363" spans="2:8">
      <c r="B363" s="104"/>
      <c r="C363" s="104"/>
      <c r="D363" s="104"/>
      <c r="E363" s="104"/>
      <c r="F363" s="104"/>
      <c r="G363" s="104"/>
      <c r="H363" s="104"/>
    </row>
    <row r="364" spans="2:8">
      <c r="B364" s="104"/>
      <c r="C364" s="104"/>
      <c r="D364" s="104"/>
      <c r="E364" s="104"/>
      <c r="F364" s="104"/>
      <c r="G364" s="104"/>
      <c r="H364" s="104"/>
    </row>
    <row r="365" spans="2:8">
      <c r="B365" s="104"/>
      <c r="C365" s="104"/>
      <c r="D365" s="104"/>
      <c r="E365" s="104"/>
      <c r="F365" s="104"/>
      <c r="G365" s="104"/>
      <c r="H365" s="104"/>
    </row>
    <row r="366" spans="2:8">
      <c r="B366" s="104"/>
      <c r="C366" s="104"/>
      <c r="D366" s="104"/>
      <c r="E366" s="104"/>
      <c r="F366" s="104"/>
      <c r="G366" s="104"/>
      <c r="H366" s="104"/>
    </row>
    <row r="367" spans="2:8">
      <c r="B367" s="104"/>
      <c r="C367" s="104"/>
      <c r="D367" s="104"/>
      <c r="E367" s="104"/>
      <c r="F367" s="104"/>
      <c r="G367" s="104"/>
      <c r="H367" s="104"/>
    </row>
    <row r="368" spans="2:8">
      <c r="B368" s="104"/>
      <c r="C368" s="104"/>
      <c r="D368" s="104"/>
      <c r="E368" s="104"/>
      <c r="F368" s="104"/>
      <c r="G368" s="104"/>
      <c r="H368" s="104"/>
    </row>
    <row r="369" spans="2:8">
      <c r="B369" s="104"/>
      <c r="C369" s="104"/>
      <c r="D369" s="104"/>
      <c r="E369" s="104"/>
      <c r="F369" s="104"/>
      <c r="G369" s="104"/>
      <c r="H369" s="104"/>
    </row>
    <row r="370" spans="2:8">
      <c r="B370" s="104"/>
      <c r="C370" s="104"/>
      <c r="D370" s="104"/>
      <c r="E370" s="104"/>
      <c r="F370" s="104"/>
      <c r="G370" s="104"/>
      <c r="H370" s="104"/>
    </row>
    <row r="371" spans="2:8">
      <c r="B371" s="104"/>
      <c r="C371" s="104"/>
      <c r="D371" s="104"/>
      <c r="E371" s="104"/>
      <c r="F371" s="104"/>
      <c r="G371" s="104"/>
      <c r="H371" s="104"/>
    </row>
    <row r="372" spans="2:8">
      <c r="B372" s="104"/>
      <c r="C372" s="104"/>
      <c r="D372" s="104"/>
      <c r="E372" s="104"/>
      <c r="F372" s="104"/>
      <c r="G372" s="104"/>
      <c r="H372" s="104"/>
    </row>
    <row r="373" spans="2:8">
      <c r="B373" s="104"/>
      <c r="C373" s="104"/>
      <c r="D373" s="104"/>
      <c r="E373" s="104"/>
      <c r="F373" s="104"/>
      <c r="G373" s="104"/>
      <c r="H373" s="104"/>
    </row>
    <row r="374" spans="2:8">
      <c r="B374" s="104"/>
      <c r="C374" s="104"/>
      <c r="D374" s="104"/>
      <c r="E374" s="104"/>
      <c r="F374" s="104"/>
      <c r="G374" s="104"/>
      <c r="H374" s="104"/>
    </row>
    <row r="375" spans="2:8">
      <c r="B375" s="104"/>
      <c r="C375" s="104"/>
      <c r="D375" s="104"/>
      <c r="E375" s="104"/>
      <c r="F375" s="104"/>
      <c r="G375" s="104"/>
      <c r="H375" s="104"/>
    </row>
    <row r="376" spans="2:8">
      <c r="B376" s="104"/>
      <c r="C376" s="104"/>
      <c r="D376" s="104"/>
      <c r="E376" s="104"/>
      <c r="F376" s="104"/>
      <c r="G376" s="104"/>
      <c r="H376" s="104"/>
    </row>
    <row r="377" spans="2:8">
      <c r="B377" s="104"/>
      <c r="C377" s="104"/>
      <c r="D377" s="104"/>
      <c r="E377" s="104"/>
      <c r="F377" s="104"/>
      <c r="G377" s="104"/>
      <c r="H377" s="104"/>
    </row>
    <row r="378" spans="2:8">
      <c r="B378" s="104"/>
      <c r="C378" s="104"/>
      <c r="D378" s="104"/>
      <c r="E378" s="104"/>
      <c r="F378" s="104"/>
      <c r="G378" s="104"/>
      <c r="H378" s="104"/>
    </row>
    <row r="379" spans="2:8">
      <c r="B379" s="104"/>
      <c r="C379" s="104"/>
      <c r="D379" s="104"/>
      <c r="E379" s="104"/>
      <c r="F379" s="104"/>
      <c r="G379" s="104"/>
      <c r="H379" s="104"/>
    </row>
    <row r="380" spans="2:8">
      <c r="B380" s="104"/>
      <c r="C380" s="104"/>
      <c r="D380" s="104"/>
      <c r="E380" s="104"/>
      <c r="F380" s="104"/>
      <c r="G380" s="104"/>
      <c r="H380" s="104"/>
    </row>
    <row r="381" spans="2:8">
      <c r="B381" s="104"/>
      <c r="C381" s="104"/>
      <c r="D381" s="104"/>
      <c r="E381" s="104"/>
      <c r="F381" s="104"/>
      <c r="G381" s="104"/>
      <c r="H381" s="104"/>
    </row>
    <row r="382" spans="2:8">
      <c r="B382" s="104"/>
      <c r="C382" s="104"/>
      <c r="D382" s="104"/>
      <c r="E382" s="104"/>
      <c r="F382" s="104"/>
      <c r="G382" s="104"/>
      <c r="H382" s="104"/>
    </row>
    <row r="383" spans="2:8">
      <c r="B383" s="104"/>
      <c r="C383" s="104"/>
      <c r="D383" s="104"/>
      <c r="E383" s="104"/>
      <c r="F383" s="104"/>
      <c r="G383" s="104"/>
      <c r="H383" s="104"/>
    </row>
    <row r="384" spans="2:8">
      <c r="B384" s="104"/>
      <c r="C384" s="104"/>
      <c r="D384" s="104"/>
      <c r="E384" s="104"/>
      <c r="F384" s="104"/>
      <c r="G384" s="104"/>
      <c r="H384" s="104"/>
    </row>
    <row r="385" spans="2:8">
      <c r="B385" s="104"/>
      <c r="C385" s="104"/>
      <c r="D385" s="104"/>
      <c r="E385" s="104"/>
      <c r="F385" s="104"/>
      <c r="G385" s="104"/>
      <c r="H385" s="104"/>
    </row>
    <row r="386" spans="2:8">
      <c r="B386" s="104"/>
      <c r="C386" s="104"/>
      <c r="D386" s="104"/>
      <c r="E386" s="104"/>
      <c r="F386" s="104"/>
      <c r="G386" s="104"/>
      <c r="H386" s="104"/>
    </row>
    <row r="387" spans="2:8">
      <c r="B387" s="104"/>
      <c r="C387" s="104"/>
      <c r="D387" s="104"/>
      <c r="E387" s="104"/>
      <c r="F387" s="104"/>
      <c r="G387" s="104"/>
      <c r="H387" s="104"/>
    </row>
    <row r="388" spans="2:8">
      <c r="B388" s="104"/>
      <c r="C388" s="104"/>
      <c r="D388" s="104"/>
      <c r="E388" s="104"/>
      <c r="F388" s="104"/>
      <c r="G388" s="104"/>
      <c r="H388" s="104"/>
    </row>
    <row r="389" spans="2:8">
      <c r="B389" s="104"/>
      <c r="C389" s="104"/>
      <c r="D389" s="104"/>
      <c r="E389" s="104"/>
      <c r="F389" s="104"/>
      <c r="G389" s="104"/>
      <c r="H389" s="104"/>
    </row>
    <row r="390" spans="2:8">
      <c r="B390" s="104"/>
      <c r="C390" s="104"/>
      <c r="D390" s="104"/>
      <c r="E390" s="104"/>
      <c r="F390" s="104"/>
      <c r="G390" s="104"/>
      <c r="H390" s="104"/>
    </row>
    <row r="391" spans="2:8">
      <c r="B391" s="104"/>
      <c r="C391" s="104"/>
      <c r="D391" s="104"/>
      <c r="E391" s="104"/>
      <c r="F391" s="104"/>
      <c r="G391" s="104"/>
      <c r="H391" s="104"/>
    </row>
    <row r="392" spans="2:8">
      <c r="B392" s="104"/>
      <c r="C392" s="104"/>
      <c r="D392" s="104"/>
      <c r="E392" s="104"/>
      <c r="F392" s="104"/>
      <c r="G392" s="104"/>
      <c r="H392" s="104"/>
    </row>
    <row r="393" spans="2:8">
      <c r="B393" s="104"/>
      <c r="C393" s="104"/>
      <c r="D393" s="104"/>
      <c r="E393" s="104"/>
      <c r="F393" s="104"/>
      <c r="G393" s="104"/>
      <c r="H393" s="104"/>
    </row>
    <row r="394" spans="2:8">
      <c r="B394" s="104"/>
      <c r="C394" s="104"/>
      <c r="D394" s="104"/>
      <c r="E394" s="104"/>
      <c r="F394" s="104"/>
      <c r="G394" s="104"/>
      <c r="H394" s="104"/>
    </row>
    <row r="395" spans="2:8">
      <c r="B395" s="104"/>
      <c r="C395" s="104"/>
      <c r="D395" s="104"/>
      <c r="E395" s="104"/>
      <c r="F395" s="104"/>
      <c r="G395" s="104"/>
      <c r="H395" s="104"/>
    </row>
    <row r="396" spans="2:8">
      <c r="B396" s="104"/>
      <c r="C396" s="104"/>
      <c r="D396" s="104"/>
      <c r="E396" s="104"/>
      <c r="F396" s="104"/>
      <c r="G396" s="104"/>
      <c r="H396" s="104"/>
    </row>
    <row r="397" spans="2:8">
      <c r="B397" s="104"/>
      <c r="C397" s="104"/>
      <c r="D397" s="104"/>
      <c r="E397" s="104"/>
      <c r="F397" s="104"/>
      <c r="G397" s="104"/>
      <c r="H397" s="104"/>
    </row>
    <row r="398" spans="2:8">
      <c r="B398" s="104"/>
      <c r="C398" s="104"/>
      <c r="D398" s="104"/>
      <c r="E398" s="104"/>
      <c r="F398" s="104"/>
      <c r="G398" s="104"/>
      <c r="H398" s="104"/>
    </row>
    <row r="399" spans="2:8">
      <c r="B399" s="104"/>
      <c r="C399" s="104"/>
      <c r="D399" s="104"/>
      <c r="E399" s="104"/>
      <c r="F399" s="104"/>
      <c r="G399" s="104"/>
      <c r="H399" s="104"/>
    </row>
    <row r="400" spans="2:8">
      <c r="B400" s="104"/>
      <c r="C400" s="104"/>
      <c r="D400" s="104"/>
      <c r="E400" s="104"/>
      <c r="F400" s="104"/>
      <c r="G400" s="104"/>
      <c r="H400" s="104"/>
    </row>
    <row r="401" spans="2:8">
      <c r="B401" s="104"/>
      <c r="C401" s="104"/>
      <c r="D401" s="104"/>
      <c r="E401" s="104"/>
      <c r="F401" s="104"/>
      <c r="G401" s="104"/>
      <c r="H401" s="104"/>
    </row>
    <row r="402" spans="2:8">
      <c r="B402" s="104"/>
      <c r="C402" s="104"/>
      <c r="D402" s="104"/>
      <c r="E402" s="104"/>
      <c r="F402" s="104"/>
      <c r="G402" s="104"/>
      <c r="H402" s="104"/>
    </row>
    <row r="403" spans="2:8">
      <c r="B403" s="104"/>
      <c r="C403" s="104"/>
      <c r="D403" s="104"/>
      <c r="E403" s="104"/>
      <c r="F403" s="104"/>
      <c r="G403" s="104"/>
      <c r="H403" s="104"/>
    </row>
    <row r="404" spans="2:8">
      <c r="B404" s="104"/>
      <c r="C404" s="104"/>
      <c r="D404" s="104"/>
      <c r="E404" s="104"/>
      <c r="F404" s="104"/>
      <c r="G404" s="104"/>
      <c r="H404" s="104"/>
    </row>
    <row r="405" spans="2:8">
      <c r="B405" s="104"/>
      <c r="C405" s="104"/>
      <c r="D405" s="104"/>
      <c r="E405" s="104"/>
      <c r="F405" s="104"/>
      <c r="G405" s="104"/>
      <c r="H405" s="104"/>
    </row>
    <row r="406" spans="2:8">
      <c r="B406" s="104"/>
      <c r="C406" s="104"/>
      <c r="D406" s="104"/>
      <c r="E406" s="104"/>
      <c r="F406" s="104"/>
      <c r="G406" s="104"/>
      <c r="H406" s="104"/>
    </row>
    <row r="407" spans="2:8">
      <c r="B407" s="104"/>
      <c r="C407" s="104"/>
      <c r="D407" s="104"/>
      <c r="E407" s="104"/>
      <c r="F407" s="104"/>
      <c r="G407" s="104"/>
      <c r="H407" s="104"/>
    </row>
    <row r="408" spans="2:8">
      <c r="B408" s="104"/>
      <c r="C408" s="104"/>
      <c r="D408" s="104"/>
      <c r="E408" s="104"/>
      <c r="F408" s="104"/>
      <c r="G408" s="104"/>
      <c r="H408" s="104"/>
    </row>
    <row r="409" spans="2:8">
      <c r="B409" s="104"/>
      <c r="C409" s="104"/>
      <c r="D409" s="104"/>
      <c r="E409" s="104"/>
      <c r="F409" s="104"/>
      <c r="G409" s="104"/>
      <c r="H409" s="104"/>
    </row>
    <row r="410" spans="2:8">
      <c r="B410" s="104"/>
      <c r="C410" s="104"/>
      <c r="D410" s="104"/>
      <c r="E410" s="104"/>
      <c r="F410" s="104"/>
      <c r="G410" s="104"/>
      <c r="H410" s="104"/>
    </row>
    <row r="411" spans="2:8">
      <c r="B411" s="104"/>
      <c r="C411" s="104"/>
      <c r="D411" s="104"/>
      <c r="E411" s="104"/>
      <c r="F411" s="104"/>
      <c r="G411" s="104"/>
      <c r="H411" s="104"/>
    </row>
    <row r="412" spans="2:8">
      <c r="B412" s="104"/>
      <c r="C412" s="104"/>
      <c r="D412" s="104"/>
      <c r="E412" s="104"/>
      <c r="F412" s="104"/>
      <c r="G412" s="104"/>
      <c r="H412" s="104"/>
    </row>
    <row r="413" spans="2:8">
      <c r="B413" s="104"/>
      <c r="C413" s="104"/>
      <c r="D413" s="104"/>
      <c r="E413" s="104"/>
      <c r="F413" s="104"/>
      <c r="G413" s="104"/>
      <c r="H413" s="104"/>
    </row>
    <row r="414" spans="2:8">
      <c r="B414" s="104"/>
      <c r="C414" s="104"/>
      <c r="D414" s="104"/>
      <c r="E414" s="104"/>
      <c r="F414" s="104"/>
      <c r="G414" s="104"/>
      <c r="H414" s="104"/>
    </row>
    <row r="415" spans="2:8">
      <c r="B415" s="104"/>
      <c r="C415" s="104"/>
      <c r="D415" s="104"/>
      <c r="E415" s="104"/>
      <c r="F415" s="104"/>
      <c r="G415" s="104"/>
      <c r="H415" s="104"/>
    </row>
    <row r="416" spans="2:8">
      <c r="B416" s="104"/>
      <c r="C416" s="104"/>
      <c r="D416" s="104"/>
      <c r="E416" s="104"/>
      <c r="F416" s="104"/>
      <c r="G416" s="104"/>
      <c r="H416" s="104"/>
    </row>
    <row r="417" spans="2:8">
      <c r="B417" s="104"/>
      <c r="C417" s="104"/>
      <c r="D417" s="104"/>
      <c r="E417" s="104"/>
      <c r="F417" s="104"/>
      <c r="G417" s="104"/>
      <c r="H417" s="104"/>
    </row>
    <row r="418" spans="2:8">
      <c r="B418" s="104"/>
      <c r="C418" s="104"/>
      <c r="D418" s="104"/>
      <c r="E418" s="104"/>
      <c r="F418" s="104"/>
      <c r="G418" s="104"/>
      <c r="H418" s="104"/>
    </row>
    <row r="419" spans="2:8">
      <c r="B419" s="104"/>
      <c r="C419" s="104"/>
      <c r="D419" s="104"/>
      <c r="E419" s="104"/>
      <c r="F419" s="104"/>
      <c r="G419" s="104"/>
      <c r="H419" s="104"/>
    </row>
    <row r="420" spans="2:8">
      <c r="B420" s="104"/>
      <c r="C420" s="104"/>
      <c r="D420" s="104"/>
      <c r="E420" s="104"/>
      <c r="F420" s="104"/>
      <c r="G420" s="104"/>
      <c r="H420" s="104"/>
    </row>
    <row r="421" spans="2:8">
      <c r="B421" s="104"/>
      <c r="C421" s="104"/>
      <c r="D421" s="104"/>
      <c r="E421" s="104"/>
      <c r="F421" s="104"/>
      <c r="G421" s="104"/>
      <c r="H421" s="104"/>
    </row>
    <row r="422" spans="2:8">
      <c r="B422" s="104"/>
      <c r="C422" s="104"/>
      <c r="D422" s="104"/>
      <c r="E422" s="104"/>
      <c r="F422" s="104"/>
      <c r="G422" s="104"/>
      <c r="H422" s="104"/>
    </row>
    <row r="423" spans="2:8">
      <c r="B423" s="104"/>
      <c r="C423" s="104"/>
      <c r="D423" s="104"/>
      <c r="E423" s="104"/>
      <c r="F423" s="104"/>
      <c r="G423" s="104"/>
      <c r="H423" s="104"/>
    </row>
    <row r="424" spans="2:8">
      <c r="B424" s="104"/>
      <c r="C424" s="104"/>
      <c r="D424" s="104"/>
      <c r="E424" s="104"/>
      <c r="F424" s="104"/>
      <c r="G424" s="104"/>
      <c r="H424" s="104"/>
    </row>
    <row r="425" spans="2:8">
      <c r="B425" s="104"/>
      <c r="C425" s="104"/>
      <c r="D425" s="104"/>
      <c r="E425" s="104"/>
      <c r="F425" s="104"/>
      <c r="G425" s="104"/>
      <c r="H425" s="104"/>
    </row>
    <row r="426" spans="2:8">
      <c r="B426" s="104"/>
      <c r="C426" s="104"/>
      <c r="D426" s="104"/>
      <c r="E426" s="104"/>
      <c r="F426" s="104"/>
      <c r="G426" s="104"/>
      <c r="H426" s="104"/>
    </row>
    <row r="427" spans="2:8">
      <c r="B427" s="104"/>
      <c r="C427" s="104"/>
      <c r="D427" s="104"/>
      <c r="E427" s="104"/>
      <c r="F427" s="104"/>
      <c r="G427" s="104"/>
      <c r="H427" s="104"/>
    </row>
    <row r="428" spans="2:8">
      <c r="B428" s="104"/>
      <c r="C428" s="104"/>
      <c r="D428" s="104"/>
      <c r="E428" s="104"/>
      <c r="F428" s="104"/>
      <c r="G428" s="104"/>
      <c r="H428" s="104"/>
    </row>
    <row r="429" spans="2:8">
      <c r="B429" s="104"/>
      <c r="C429" s="104"/>
      <c r="D429" s="104"/>
      <c r="E429" s="104"/>
      <c r="F429" s="104"/>
      <c r="G429" s="104"/>
      <c r="H429" s="104"/>
    </row>
    <row r="430" spans="2:8">
      <c r="B430" s="104"/>
      <c r="C430" s="104"/>
      <c r="D430" s="104"/>
      <c r="E430" s="104"/>
      <c r="F430" s="104"/>
      <c r="G430" s="104"/>
      <c r="H430" s="104"/>
    </row>
    <row r="431" spans="2:8">
      <c r="B431" s="104"/>
      <c r="C431" s="104"/>
      <c r="D431" s="104"/>
      <c r="E431" s="104"/>
      <c r="F431" s="104"/>
      <c r="G431" s="104"/>
      <c r="H431" s="104"/>
    </row>
    <row r="432" spans="2:8">
      <c r="B432" s="104"/>
      <c r="C432" s="104"/>
      <c r="D432" s="104"/>
      <c r="E432" s="104"/>
      <c r="F432" s="104"/>
      <c r="G432" s="104"/>
      <c r="H432" s="104"/>
    </row>
    <row r="433" spans="2:8">
      <c r="B433" s="104"/>
      <c r="C433" s="104"/>
      <c r="D433" s="104"/>
      <c r="E433" s="104"/>
      <c r="F433" s="104"/>
      <c r="G433" s="104"/>
      <c r="H433" s="104"/>
    </row>
    <row r="434" spans="2:8">
      <c r="B434" s="104"/>
      <c r="C434" s="104"/>
      <c r="D434" s="104"/>
      <c r="E434" s="104"/>
      <c r="F434" s="104"/>
      <c r="G434" s="104"/>
      <c r="H434" s="104"/>
    </row>
    <row r="435" spans="2:8">
      <c r="B435" s="104"/>
      <c r="C435" s="104"/>
      <c r="D435" s="104"/>
      <c r="E435" s="104"/>
      <c r="F435" s="104"/>
      <c r="G435" s="104"/>
      <c r="H435" s="104"/>
    </row>
    <row r="436" spans="2:8">
      <c r="B436" s="104"/>
      <c r="C436" s="104"/>
      <c r="D436" s="104"/>
      <c r="E436" s="104"/>
      <c r="F436" s="104"/>
      <c r="G436" s="104"/>
      <c r="H436" s="104"/>
    </row>
    <row r="437" spans="2:8">
      <c r="B437" s="104"/>
      <c r="C437" s="104"/>
      <c r="D437" s="104"/>
      <c r="E437" s="104"/>
      <c r="F437" s="104"/>
      <c r="G437" s="104"/>
      <c r="H437" s="104"/>
    </row>
    <row r="438" spans="2:8">
      <c r="B438" s="104"/>
      <c r="C438" s="104"/>
      <c r="D438" s="104"/>
      <c r="E438" s="104"/>
      <c r="F438" s="104"/>
      <c r="G438" s="104"/>
      <c r="H438" s="104"/>
    </row>
    <row r="439" spans="2:8">
      <c r="B439" s="104"/>
      <c r="C439" s="104"/>
      <c r="D439" s="104"/>
      <c r="E439" s="104"/>
      <c r="F439" s="104"/>
      <c r="G439" s="104"/>
      <c r="H439" s="104"/>
    </row>
    <row r="440" spans="2:8">
      <c r="B440" s="104"/>
      <c r="C440" s="104"/>
      <c r="D440" s="104"/>
      <c r="E440" s="104"/>
      <c r="F440" s="104"/>
      <c r="G440" s="104"/>
      <c r="H440" s="104"/>
    </row>
    <row r="441" spans="2:8">
      <c r="B441" s="104"/>
      <c r="C441" s="104"/>
      <c r="D441" s="104"/>
      <c r="E441" s="104"/>
      <c r="F441" s="104"/>
      <c r="G441" s="104"/>
      <c r="H441" s="104"/>
    </row>
    <row r="442" spans="2:8">
      <c r="B442" s="104"/>
      <c r="C442" s="104"/>
      <c r="D442" s="104"/>
      <c r="E442" s="104"/>
      <c r="F442" s="104"/>
      <c r="G442" s="104"/>
      <c r="H442" s="104"/>
    </row>
    <row r="443" spans="2:8">
      <c r="B443" s="104"/>
      <c r="C443" s="104"/>
      <c r="D443" s="104"/>
      <c r="E443" s="104"/>
      <c r="F443" s="104"/>
      <c r="G443" s="104"/>
      <c r="H443" s="104"/>
    </row>
    <row r="444" spans="2:8">
      <c r="B444" s="104"/>
      <c r="C444" s="104"/>
      <c r="D444" s="104"/>
      <c r="E444" s="104"/>
      <c r="F444" s="104"/>
      <c r="G444" s="104"/>
      <c r="H444" s="104"/>
    </row>
    <row r="445" spans="2:8">
      <c r="B445" s="104"/>
      <c r="C445" s="104"/>
      <c r="D445" s="104"/>
      <c r="E445" s="104"/>
      <c r="F445" s="104"/>
      <c r="G445" s="104"/>
      <c r="H445" s="104"/>
    </row>
    <row r="446" spans="2:8">
      <c r="B446" s="104"/>
      <c r="C446" s="104"/>
      <c r="D446" s="104"/>
      <c r="E446" s="104"/>
      <c r="F446" s="104"/>
      <c r="G446" s="104"/>
      <c r="H446" s="104"/>
    </row>
    <row r="447" spans="2:8">
      <c r="B447" s="104"/>
      <c r="C447" s="104"/>
      <c r="D447" s="104"/>
      <c r="E447" s="104"/>
      <c r="F447" s="104"/>
      <c r="G447" s="104"/>
      <c r="H447" s="104"/>
    </row>
    <row r="448" spans="2:8">
      <c r="B448" s="104"/>
      <c r="C448" s="104"/>
      <c r="D448" s="104"/>
      <c r="E448" s="104"/>
      <c r="F448" s="104"/>
      <c r="G448" s="104"/>
      <c r="H448" s="104"/>
    </row>
    <row r="449" spans="2:8">
      <c r="B449" s="104"/>
      <c r="C449" s="104"/>
      <c r="D449" s="104"/>
      <c r="E449" s="104"/>
      <c r="F449" s="104"/>
      <c r="G449" s="104"/>
      <c r="H449" s="104"/>
    </row>
    <row r="450" spans="2:8">
      <c r="B450" s="104"/>
      <c r="C450" s="104"/>
      <c r="D450" s="104"/>
      <c r="E450" s="104"/>
      <c r="F450" s="104"/>
      <c r="G450" s="104"/>
      <c r="H450" s="104"/>
    </row>
    <row r="451" spans="2:8">
      <c r="B451" s="104"/>
      <c r="C451" s="104"/>
      <c r="D451" s="104"/>
      <c r="E451" s="104"/>
      <c r="F451" s="104"/>
      <c r="G451" s="104"/>
      <c r="H451" s="104"/>
    </row>
    <row r="452" spans="2:8">
      <c r="B452" s="104"/>
      <c r="C452" s="104"/>
      <c r="D452" s="104"/>
      <c r="E452" s="104"/>
      <c r="F452" s="104"/>
      <c r="G452" s="104"/>
      <c r="H452" s="104"/>
    </row>
    <row r="453" spans="2:8">
      <c r="B453" s="104"/>
      <c r="C453" s="104"/>
      <c r="D453" s="104"/>
      <c r="E453" s="104"/>
      <c r="F453" s="104"/>
      <c r="G453" s="104"/>
      <c r="H453" s="104"/>
    </row>
    <row r="454" spans="2:8">
      <c r="B454" s="104"/>
      <c r="C454" s="104"/>
      <c r="D454" s="104"/>
      <c r="E454" s="104"/>
      <c r="F454" s="104"/>
      <c r="G454" s="104"/>
      <c r="H454" s="104"/>
    </row>
    <row r="455" spans="2:8">
      <c r="B455" s="104"/>
      <c r="C455" s="104"/>
      <c r="D455" s="104"/>
      <c r="E455" s="104"/>
      <c r="F455" s="104"/>
      <c r="G455" s="104"/>
      <c r="H455" s="104"/>
    </row>
    <row r="456" spans="2:8">
      <c r="B456" s="104"/>
      <c r="C456" s="104"/>
      <c r="D456" s="104"/>
      <c r="E456" s="104"/>
      <c r="F456" s="104"/>
      <c r="G456" s="104"/>
      <c r="H456" s="104"/>
    </row>
    <row r="457" spans="2:8">
      <c r="B457" s="104"/>
      <c r="C457" s="104"/>
      <c r="D457" s="104"/>
      <c r="E457" s="104"/>
      <c r="F457" s="104"/>
      <c r="G457" s="104"/>
      <c r="H457" s="104"/>
    </row>
    <row r="458" spans="2:8">
      <c r="B458" s="104"/>
      <c r="C458" s="104"/>
      <c r="D458" s="104"/>
      <c r="E458" s="104"/>
      <c r="F458" s="104"/>
      <c r="G458" s="104"/>
      <c r="H458" s="104"/>
    </row>
    <row r="459" spans="2:8">
      <c r="B459" s="104"/>
      <c r="C459" s="104"/>
      <c r="D459" s="104"/>
      <c r="E459" s="104"/>
      <c r="F459" s="104"/>
      <c r="G459" s="104"/>
      <c r="H459" s="104"/>
    </row>
    <row r="460" spans="2:8">
      <c r="B460" s="104"/>
      <c r="C460" s="104"/>
      <c r="D460" s="104"/>
      <c r="E460" s="104"/>
      <c r="F460" s="104"/>
      <c r="G460" s="104"/>
      <c r="H460" s="104"/>
    </row>
    <row r="461" spans="2:8">
      <c r="B461" s="104"/>
      <c r="C461" s="104"/>
      <c r="D461" s="104"/>
      <c r="E461" s="104"/>
      <c r="F461" s="104"/>
      <c r="G461" s="104"/>
      <c r="H461" s="104"/>
    </row>
    <row r="462" spans="2:8">
      <c r="B462" s="104"/>
      <c r="C462" s="104"/>
      <c r="D462" s="104"/>
      <c r="E462" s="104"/>
      <c r="F462" s="104"/>
      <c r="G462" s="104"/>
      <c r="H462" s="104"/>
    </row>
    <row r="463" spans="2:8">
      <c r="B463" s="104"/>
      <c r="C463" s="104"/>
      <c r="D463" s="104"/>
      <c r="E463" s="104"/>
      <c r="F463" s="104"/>
      <c r="G463" s="104"/>
      <c r="H463" s="104"/>
    </row>
    <row r="464" spans="2:8">
      <c r="B464" s="104"/>
      <c r="C464" s="104"/>
      <c r="D464" s="104"/>
      <c r="E464" s="104"/>
      <c r="F464" s="104"/>
      <c r="G464" s="104"/>
      <c r="H464" s="104"/>
    </row>
    <row r="465" spans="2:8">
      <c r="B465" s="104"/>
      <c r="C465" s="104"/>
      <c r="D465" s="104"/>
      <c r="E465" s="104"/>
      <c r="F465" s="104"/>
      <c r="G465" s="104"/>
      <c r="H465" s="104"/>
    </row>
    <row r="466" spans="2:8">
      <c r="B466" s="104"/>
      <c r="C466" s="104"/>
      <c r="D466" s="104"/>
      <c r="E466" s="104"/>
      <c r="F466" s="104"/>
      <c r="G466" s="104"/>
      <c r="H466" s="104"/>
    </row>
    <row r="467" spans="2:8">
      <c r="B467" s="104"/>
      <c r="C467" s="104"/>
      <c r="D467" s="104"/>
      <c r="E467" s="104"/>
      <c r="F467" s="104"/>
      <c r="G467" s="104"/>
      <c r="H467" s="104"/>
    </row>
    <row r="468" spans="2:8">
      <c r="B468" s="104"/>
      <c r="C468" s="104"/>
      <c r="D468" s="104"/>
      <c r="E468" s="104"/>
      <c r="F468" s="104"/>
      <c r="G468" s="104"/>
      <c r="H468" s="104"/>
    </row>
    <row r="469" spans="2:8">
      <c r="B469" s="104"/>
      <c r="C469" s="104"/>
      <c r="D469" s="104"/>
      <c r="E469" s="104"/>
      <c r="F469" s="104"/>
      <c r="G469" s="104"/>
      <c r="H469" s="104"/>
    </row>
    <row r="470" spans="2:8">
      <c r="B470" s="104"/>
      <c r="C470" s="104"/>
      <c r="D470" s="104"/>
      <c r="E470" s="104"/>
      <c r="F470" s="104"/>
      <c r="G470" s="104"/>
      <c r="H470" s="104"/>
    </row>
    <row r="471" spans="2:8">
      <c r="B471" s="104"/>
      <c r="C471" s="104"/>
      <c r="D471" s="104"/>
      <c r="E471" s="104"/>
      <c r="F471" s="104"/>
      <c r="G471" s="104"/>
      <c r="H471" s="104"/>
    </row>
    <row r="472" spans="2:8">
      <c r="B472" s="104"/>
      <c r="C472" s="104"/>
      <c r="D472" s="104"/>
      <c r="E472" s="104"/>
      <c r="F472" s="104"/>
      <c r="G472" s="104"/>
      <c r="H472" s="104"/>
    </row>
    <row r="473" spans="2:8">
      <c r="B473" s="104"/>
      <c r="C473" s="104"/>
      <c r="D473" s="104"/>
      <c r="E473" s="104"/>
      <c r="F473" s="104"/>
      <c r="G473" s="104"/>
      <c r="H473" s="104"/>
    </row>
    <row r="474" spans="2:8">
      <c r="B474" s="104"/>
      <c r="C474" s="104"/>
      <c r="D474" s="104"/>
      <c r="E474" s="104"/>
      <c r="F474" s="104"/>
      <c r="G474" s="104"/>
      <c r="H474" s="104"/>
    </row>
    <row r="475" spans="2:8">
      <c r="B475" s="104"/>
      <c r="C475" s="104"/>
      <c r="D475" s="104"/>
      <c r="E475" s="104"/>
      <c r="F475" s="104"/>
      <c r="G475" s="104"/>
      <c r="H475" s="104"/>
    </row>
    <row r="476" spans="2:8">
      <c r="B476" s="104"/>
      <c r="C476" s="104"/>
      <c r="D476" s="104"/>
      <c r="E476" s="104"/>
      <c r="F476" s="104"/>
      <c r="G476" s="104"/>
      <c r="H476" s="104"/>
    </row>
    <row r="477" spans="2:8">
      <c r="B477" s="104"/>
      <c r="C477" s="104"/>
      <c r="D477" s="104"/>
      <c r="E477" s="104"/>
      <c r="F477" s="104"/>
      <c r="G477" s="104"/>
      <c r="H477" s="104"/>
    </row>
    <row r="478" spans="2:8">
      <c r="B478" s="104"/>
      <c r="C478" s="104"/>
      <c r="D478" s="104"/>
      <c r="E478" s="104"/>
      <c r="F478" s="104"/>
      <c r="G478" s="104"/>
      <c r="H478" s="104"/>
    </row>
    <row r="479" spans="2:8">
      <c r="B479" s="104"/>
      <c r="C479" s="104"/>
      <c r="D479" s="104"/>
      <c r="E479" s="104"/>
      <c r="F479" s="104"/>
      <c r="G479" s="104"/>
      <c r="H479" s="104"/>
    </row>
    <row r="480" spans="2:8">
      <c r="B480" s="104"/>
      <c r="C480" s="104"/>
      <c r="D480" s="104"/>
      <c r="E480" s="104"/>
      <c r="F480" s="104"/>
      <c r="G480" s="104"/>
      <c r="H480" s="104"/>
    </row>
    <row r="481" spans="2:8">
      <c r="B481" s="104"/>
      <c r="C481" s="104"/>
      <c r="D481" s="104"/>
      <c r="E481" s="104"/>
      <c r="F481" s="104"/>
      <c r="G481" s="104"/>
      <c r="H481" s="104"/>
    </row>
    <row r="482" spans="2:8">
      <c r="B482" s="104"/>
      <c r="C482" s="104"/>
      <c r="D482" s="104"/>
      <c r="E482" s="104"/>
      <c r="F482" s="104"/>
      <c r="G482" s="104"/>
      <c r="H482" s="104"/>
    </row>
    <row r="483" spans="2:8">
      <c r="B483" s="104"/>
      <c r="C483" s="104"/>
      <c r="D483" s="104"/>
      <c r="E483" s="104"/>
      <c r="F483" s="104"/>
      <c r="G483" s="104"/>
      <c r="H483" s="104"/>
    </row>
    <row r="484" spans="2:8">
      <c r="B484" s="104"/>
      <c r="C484" s="104"/>
      <c r="D484" s="104"/>
      <c r="E484" s="104"/>
      <c r="F484" s="104"/>
      <c r="G484" s="104"/>
      <c r="H484" s="104"/>
    </row>
    <row r="485" spans="2:8">
      <c r="B485" s="104"/>
      <c r="C485" s="104"/>
      <c r="D485" s="104"/>
      <c r="E485" s="104"/>
      <c r="F485" s="104"/>
      <c r="G485" s="104"/>
      <c r="H485" s="104"/>
    </row>
    <row r="486" spans="2:8">
      <c r="B486" s="104"/>
      <c r="C486" s="104"/>
      <c r="D486" s="104"/>
      <c r="E486" s="104"/>
      <c r="F486" s="104"/>
      <c r="G486" s="104"/>
      <c r="H486" s="104"/>
    </row>
    <row r="487" spans="2:8">
      <c r="B487" s="104"/>
      <c r="C487" s="104"/>
      <c r="D487" s="104"/>
      <c r="E487" s="104"/>
      <c r="F487" s="104"/>
      <c r="G487" s="104"/>
      <c r="H487" s="104"/>
    </row>
    <row r="488" spans="2:8">
      <c r="B488" s="104"/>
      <c r="C488" s="104"/>
      <c r="D488" s="104"/>
      <c r="E488" s="104"/>
      <c r="F488" s="104"/>
      <c r="G488" s="104"/>
      <c r="H488" s="104"/>
    </row>
    <row r="489" spans="2:8">
      <c r="B489" s="104"/>
      <c r="C489" s="104"/>
      <c r="D489" s="104"/>
      <c r="E489" s="104"/>
      <c r="F489" s="104"/>
      <c r="G489" s="104"/>
      <c r="H489" s="104"/>
    </row>
    <row r="490" spans="2:8">
      <c r="B490" s="104"/>
      <c r="C490" s="104"/>
      <c r="D490" s="104"/>
      <c r="E490" s="104"/>
      <c r="F490" s="104"/>
      <c r="G490" s="104"/>
      <c r="H490" s="104"/>
    </row>
    <row r="491" spans="2:8">
      <c r="B491" s="104"/>
      <c r="C491" s="104"/>
      <c r="D491" s="104"/>
      <c r="E491" s="104"/>
      <c r="F491" s="104"/>
      <c r="G491" s="104"/>
      <c r="H491" s="104"/>
    </row>
    <row r="492" spans="2:8">
      <c r="B492" s="104"/>
      <c r="C492" s="104"/>
      <c r="D492" s="104"/>
      <c r="E492" s="104"/>
      <c r="F492" s="104"/>
      <c r="G492" s="104"/>
      <c r="H492" s="104"/>
    </row>
    <row r="493" spans="2:8">
      <c r="B493" s="104"/>
      <c r="C493" s="104"/>
      <c r="D493" s="104"/>
      <c r="E493" s="104"/>
      <c r="F493" s="104"/>
      <c r="G493" s="104"/>
      <c r="H493" s="104"/>
    </row>
    <row r="494" spans="2:8">
      <c r="B494" s="104"/>
      <c r="C494" s="104"/>
      <c r="D494" s="104"/>
      <c r="E494" s="104"/>
      <c r="F494" s="104"/>
      <c r="G494" s="104"/>
      <c r="H494" s="104"/>
    </row>
    <row r="495" spans="2:8">
      <c r="B495" s="104"/>
      <c r="C495" s="104"/>
      <c r="D495" s="104"/>
      <c r="E495" s="104"/>
      <c r="F495" s="104"/>
      <c r="G495" s="104"/>
      <c r="H495" s="104"/>
    </row>
    <row r="496" spans="2:8">
      <c r="B496" s="104"/>
      <c r="C496" s="104"/>
      <c r="D496" s="104"/>
      <c r="E496" s="104"/>
      <c r="F496" s="104"/>
      <c r="G496" s="104"/>
      <c r="H496" s="104"/>
    </row>
    <row r="497" spans="2:8">
      <c r="B497" s="104"/>
      <c r="C497" s="104"/>
      <c r="D497" s="104"/>
      <c r="E497" s="104"/>
      <c r="F497" s="104"/>
      <c r="G497" s="104"/>
      <c r="H497" s="104"/>
    </row>
    <row r="498" spans="2:8">
      <c r="B498" s="104"/>
      <c r="C498" s="104"/>
      <c r="D498" s="104"/>
      <c r="E498" s="104"/>
      <c r="F498" s="104"/>
      <c r="G498" s="104"/>
      <c r="H498" s="104"/>
    </row>
    <row r="499" spans="2:8">
      <c r="B499" s="104"/>
      <c r="C499" s="104"/>
      <c r="D499" s="104"/>
      <c r="E499" s="104"/>
      <c r="F499" s="104"/>
      <c r="G499" s="104"/>
      <c r="H499" s="104"/>
    </row>
    <row r="500" spans="2:8">
      <c r="B500" s="104"/>
      <c r="C500" s="104"/>
      <c r="D500" s="104"/>
      <c r="E500" s="104"/>
      <c r="F500" s="104"/>
      <c r="G500" s="104"/>
      <c r="H500" s="104"/>
    </row>
    <row r="501" spans="2:8">
      <c r="B501" s="104"/>
      <c r="C501" s="104"/>
      <c r="D501" s="104"/>
      <c r="E501" s="104"/>
      <c r="F501" s="104"/>
      <c r="G501" s="104"/>
      <c r="H501" s="104"/>
    </row>
    <row r="502" spans="2:8">
      <c r="B502" s="104"/>
      <c r="C502" s="104"/>
      <c r="D502" s="104"/>
      <c r="E502" s="104"/>
      <c r="F502" s="104"/>
      <c r="G502" s="104"/>
      <c r="H502" s="104"/>
    </row>
    <row r="503" spans="2:8">
      <c r="B503" s="104"/>
      <c r="C503" s="104"/>
      <c r="D503" s="104"/>
      <c r="E503" s="104"/>
      <c r="F503" s="104"/>
      <c r="G503" s="104"/>
      <c r="H503" s="104"/>
    </row>
    <row r="504" spans="2:8">
      <c r="B504" s="104"/>
      <c r="C504" s="104"/>
      <c r="D504" s="104"/>
      <c r="E504" s="104"/>
      <c r="F504" s="104"/>
      <c r="G504" s="104"/>
      <c r="H504" s="104"/>
    </row>
  </sheetData>
  <mergeCells count="6">
    <mergeCell ref="D1:H3"/>
    <mergeCell ref="A4:C4"/>
    <mergeCell ref="D4:H4"/>
    <mergeCell ref="A5:C5"/>
    <mergeCell ref="D5:G5"/>
    <mergeCell ref="H5:H6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2" orientation="portrait" r:id="rId1"/>
  <headerFooter>
    <oddFooter>&amp;L&amp;"Calibri,Regular"&amp;12&amp;K184782&amp;F&amp;C&amp;"Calibri,Regular"&amp;12&amp;K184782&amp;A&amp;R&amp;"Calibri,Regular"&amp;12&amp;K184782&amp;P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5">
    <pageSetUpPr fitToPage="1"/>
  </sheetPr>
  <dimension ref="A1:H504"/>
  <sheetViews>
    <sheetView showGridLines="0" workbookViewId="0">
      <pane ySplit="2745" topLeftCell="A200" activePane="bottomLeft"/>
      <selection activeCell="D1" sqref="D1:H3"/>
      <selection pane="bottomLeft" activeCell="H212" sqref="A212:XFD212"/>
    </sheetView>
  </sheetViews>
  <sheetFormatPr defaultRowHeight="12.75"/>
  <cols>
    <col min="1" max="1" width="13.85546875" style="67" customWidth="1"/>
    <col min="2" max="2" width="13.5703125" style="67" customWidth="1"/>
    <col min="3" max="3" width="10.140625" style="67" customWidth="1"/>
    <col min="4" max="4" width="9.140625" style="67" customWidth="1"/>
    <col min="5" max="5" width="9.140625" style="67"/>
    <col min="6" max="6" width="13.5703125" style="67" bestFit="1" customWidth="1"/>
    <col min="7" max="7" width="12.85546875" style="67" bestFit="1" customWidth="1"/>
    <col min="8" max="8" width="15.7109375" style="67" customWidth="1"/>
    <col min="9" max="16384" width="9.140625" style="67"/>
  </cols>
  <sheetData>
    <row r="1" spans="1:8" ht="16.5" customHeight="1">
      <c r="B1" s="101"/>
      <c r="C1" s="101"/>
      <c r="D1" s="294" t="s">
        <v>251</v>
      </c>
      <c r="E1" s="294"/>
      <c r="F1" s="294"/>
      <c r="G1" s="294"/>
      <c r="H1" s="294"/>
    </row>
    <row r="2" spans="1:8" ht="17.25" customHeight="1">
      <c r="A2" s="101"/>
      <c r="B2" s="101"/>
      <c r="C2" s="101"/>
      <c r="D2" s="294"/>
      <c r="E2" s="294"/>
      <c r="F2" s="294"/>
      <c r="G2" s="294"/>
      <c r="H2" s="294"/>
    </row>
    <row r="3" spans="1:8" ht="21" customHeight="1" thickBot="1">
      <c r="A3" s="101"/>
      <c r="B3" s="101"/>
      <c r="C3" s="101"/>
      <c r="D3" s="306"/>
      <c r="E3" s="306"/>
      <c r="F3" s="306"/>
      <c r="G3" s="306"/>
      <c r="H3" s="306"/>
    </row>
    <row r="4" spans="1:8" s="62" customFormat="1" ht="19.5" thickBot="1">
      <c r="A4" s="307" t="s">
        <v>75</v>
      </c>
      <c r="B4" s="308"/>
      <c r="C4" s="309"/>
      <c r="D4" s="310" t="s">
        <v>61</v>
      </c>
      <c r="E4" s="311"/>
      <c r="F4" s="311"/>
      <c r="G4" s="311" t="s">
        <v>6</v>
      </c>
      <c r="H4" s="312"/>
    </row>
    <row r="5" spans="1:8" s="62" customFormat="1" ht="18" customHeight="1" thickBot="1">
      <c r="A5" s="313" t="s">
        <v>56</v>
      </c>
      <c r="B5" s="314"/>
      <c r="C5" s="315"/>
      <c r="D5" s="298" t="s">
        <v>57</v>
      </c>
      <c r="E5" s="299"/>
      <c r="F5" s="299"/>
      <c r="G5" s="300"/>
      <c r="H5" s="316" t="s">
        <v>58</v>
      </c>
    </row>
    <row r="6" spans="1:8" s="62" customFormat="1" ht="15.75" customHeight="1" thickBot="1">
      <c r="A6" s="126" t="s">
        <v>109</v>
      </c>
      <c r="B6" s="127" t="s">
        <v>110</v>
      </c>
      <c r="C6" s="127" t="s">
        <v>4</v>
      </c>
      <c r="D6" s="127" t="s">
        <v>14</v>
      </c>
      <c r="E6" s="127" t="s">
        <v>15</v>
      </c>
      <c r="F6" s="127" t="s">
        <v>16</v>
      </c>
      <c r="G6" s="127" t="s">
        <v>17</v>
      </c>
      <c r="H6" s="317"/>
    </row>
    <row r="7" spans="1:8" s="102" customFormat="1" ht="16.5" customHeight="1" thickBot="1">
      <c r="A7" s="140" t="s">
        <v>67</v>
      </c>
      <c r="B7" s="141"/>
      <c r="C7" s="141"/>
      <c r="D7" s="141"/>
      <c r="E7" s="141"/>
      <c r="F7" s="141"/>
      <c r="G7" s="141"/>
      <c r="H7" s="142"/>
    </row>
    <row r="8" spans="1:8" ht="15" hidden="1">
      <c r="A8" s="228" t="s">
        <v>113</v>
      </c>
      <c r="B8" s="229">
        <v>1999.88</v>
      </c>
      <c r="C8" s="204">
        <f>100*B8/B$8</f>
        <v>100</v>
      </c>
      <c r="D8" s="204"/>
      <c r="E8" s="204"/>
      <c r="F8" s="204"/>
      <c r="G8" s="205"/>
      <c r="H8" s="206">
        <f>+B$211/B8</f>
        <v>2.209078078181169</v>
      </c>
    </row>
    <row r="9" spans="1:8" ht="15" hidden="1">
      <c r="A9" s="230" t="s">
        <v>114</v>
      </c>
      <c r="B9" s="231">
        <v>2063.9699999999998</v>
      </c>
      <c r="C9" s="207">
        <f t="shared" ref="C9:C106" si="0">100*B9/B$8</f>
        <v>103.20469228153688</v>
      </c>
      <c r="D9" s="207">
        <f t="shared" ref="D9:D26" si="1">100*(B9/B8-1)</f>
        <v>3.2046922815368806</v>
      </c>
      <c r="E9" s="207"/>
      <c r="F9" s="207"/>
      <c r="G9" s="208"/>
      <c r="H9" s="209">
        <f>+B$211/B9</f>
        <v>2.1404822100093299</v>
      </c>
    </row>
    <row r="10" spans="1:8" ht="15" hidden="1">
      <c r="A10" s="230" t="s">
        <v>115</v>
      </c>
      <c r="B10" s="231">
        <v>2089.2800000000002</v>
      </c>
      <c r="C10" s="207">
        <f t="shared" si="0"/>
        <v>104.47026821609298</v>
      </c>
      <c r="D10" s="207">
        <f t="shared" si="1"/>
        <v>1.2262775137235726</v>
      </c>
      <c r="E10" s="207"/>
      <c r="F10" s="207"/>
      <c r="G10" s="208"/>
      <c r="H10" s="209">
        <f>+B$211/B10</f>
        <v>2.1145519351130324</v>
      </c>
    </row>
    <row r="11" spans="1:8" ht="15" hidden="1">
      <c r="A11" s="230" t="s">
        <v>116</v>
      </c>
      <c r="B11" s="231">
        <v>2113.63</v>
      </c>
      <c r="C11" s="207">
        <f t="shared" si="0"/>
        <v>105.68784127047623</v>
      </c>
      <c r="D11" s="207">
        <f t="shared" si="1"/>
        <v>1.1654732730892903</v>
      </c>
      <c r="E11" s="207">
        <f t="shared" ref="E11:E16" si="2">100*(B11/B$10-1)</f>
        <v>1.1654732730892903</v>
      </c>
      <c r="F11" s="210"/>
      <c r="G11" s="211"/>
      <c r="H11" s="209">
        <f>+B$211/B11</f>
        <v>2.0901913139920216</v>
      </c>
    </row>
    <row r="12" spans="1:8" ht="15" hidden="1">
      <c r="A12" s="230" t="s">
        <v>117</v>
      </c>
      <c r="B12" s="231">
        <v>2151.96</v>
      </c>
      <c r="C12" s="207">
        <f t="shared" si="0"/>
        <v>107.60445626737604</v>
      </c>
      <c r="D12" s="207">
        <f t="shared" si="1"/>
        <v>1.8134678254945191</v>
      </c>
      <c r="E12" s="207">
        <f t="shared" si="2"/>
        <v>3.0000765814060193</v>
      </c>
      <c r="F12" s="210"/>
      <c r="G12" s="211"/>
      <c r="H12" s="209">
        <f>+B$211/B12</f>
        <v>2.0529615174041136</v>
      </c>
    </row>
    <row r="13" spans="1:8" ht="15" hidden="1">
      <c r="A13" s="230" t="s">
        <v>118</v>
      </c>
      <c r="B13" s="231">
        <v>2197.64</v>
      </c>
      <c r="C13" s="207">
        <f t="shared" si="0"/>
        <v>109.88859331559892</v>
      </c>
      <c r="D13" s="207">
        <f t="shared" si="1"/>
        <v>2.1227160356140473</v>
      </c>
      <c r="E13" s="207">
        <f t="shared" si="2"/>
        <v>5.1864757236942616</v>
      </c>
      <c r="F13" s="210"/>
      <c r="G13" s="211"/>
      <c r="H13" s="209">
        <f>+B$211/B13</f>
        <v>2.0102887947948513</v>
      </c>
    </row>
    <row r="14" spans="1:8" ht="15" hidden="1">
      <c r="A14" s="230" t="s">
        <v>119</v>
      </c>
      <c r="B14" s="231">
        <v>2203.66</v>
      </c>
      <c r="C14" s="207">
        <f t="shared" si="0"/>
        <v>110.18961137668259</v>
      </c>
      <c r="D14" s="207">
        <f t="shared" si="1"/>
        <v>0.27393021604993351</v>
      </c>
      <c r="E14" s="207">
        <f t="shared" si="2"/>
        <v>5.4746132638995082</v>
      </c>
      <c r="F14" s="210"/>
      <c r="G14" s="211"/>
      <c r="H14" s="209">
        <f>+B$211/B14</f>
        <v>2.0047970499046843</v>
      </c>
    </row>
    <row r="15" spans="1:8" ht="15" hidden="1">
      <c r="A15" s="230" t="s">
        <v>120</v>
      </c>
      <c r="B15" s="231">
        <v>2252.7399999999998</v>
      </c>
      <c r="C15" s="207">
        <f t="shared" si="0"/>
        <v>112.64375862551751</v>
      </c>
      <c r="D15" s="207">
        <f t="shared" si="1"/>
        <v>2.2272038336222488</v>
      </c>
      <c r="E15" s="207">
        <f t="shared" si="2"/>
        <v>7.8237478940113236</v>
      </c>
      <c r="F15" s="210"/>
      <c r="G15" s="211"/>
      <c r="H15" s="209">
        <f>+B$211/B15</f>
        <v>1.9611189338285628</v>
      </c>
    </row>
    <row r="16" spans="1:8" ht="15" hidden="1">
      <c r="A16" s="230" t="s">
        <v>121</v>
      </c>
      <c r="B16" s="231">
        <v>2315.83</v>
      </c>
      <c r="C16" s="207">
        <f t="shared" si="0"/>
        <v>115.7984479068744</v>
      </c>
      <c r="D16" s="207">
        <f t="shared" si="1"/>
        <v>2.8005895043369478</v>
      </c>
      <c r="E16" s="207">
        <f t="shared" si="2"/>
        <v>10.843448460713724</v>
      </c>
      <c r="F16" s="210"/>
      <c r="G16" s="211"/>
      <c r="H16" s="209">
        <f>+B$211/B16</f>
        <v>1.9076923034043762</v>
      </c>
    </row>
    <row r="17" spans="1:8" ht="15" hidden="1">
      <c r="A17" s="230" t="s">
        <v>122</v>
      </c>
      <c r="B17" s="231">
        <v>2289.96</v>
      </c>
      <c r="C17" s="207">
        <f t="shared" si="0"/>
        <v>114.50487029221753</v>
      </c>
      <c r="D17" s="207">
        <f t="shared" si="1"/>
        <v>-1.1170940872171076</v>
      </c>
      <c r="E17" s="207">
        <f t="shared" ref="E17:E22" si="3">100*(B17/B$10-1)</f>
        <v>9.6052228518915594</v>
      </c>
      <c r="F17" s="210"/>
      <c r="G17" s="211"/>
      <c r="H17" s="209">
        <f>+B$211/B17</f>
        <v>1.92924377150385</v>
      </c>
    </row>
    <row r="18" spans="1:8" ht="15" hidden="1">
      <c r="A18" s="230" t="s">
        <v>123</v>
      </c>
      <c r="B18" s="231">
        <v>2311.4899999999998</v>
      </c>
      <c r="C18" s="207">
        <f t="shared" si="0"/>
        <v>115.58143488609315</v>
      </c>
      <c r="D18" s="207">
        <f t="shared" si="1"/>
        <v>0.94019109504095422</v>
      </c>
      <c r="E18" s="207">
        <f t="shared" si="3"/>
        <v>10.635721396844833</v>
      </c>
      <c r="F18" s="210"/>
      <c r="G18" s="211"/>
      <c r="H18" s="209">
        <f>+B$211/B18</f>
        <v>1.9112741422169064</v>
      </c>
    </row>
    <row r="19" spans="1:8" ht="15" hidden="1">
      <c r="A19" s="230" t="s">
        <v>124</v>
      </c>
      <c r="B19" s="231">
        <v>2400.85</v>
      </c>
      <c r="C19" s="207">
        <f t="shared" si="0"/>
        <v>120.04970298217893</v>
      </c>
      <c r="D19" s="207">
        <f t="shared" si="1"/>
        <v>3.8659046762045346</v>
      </c>
      <c r="E19" s="207">
        <f t="shared" si="3"/>
        <v>14.91279292387806</v>
      </c>
      <c r="F19" s="210"/>
      <c r="G19" s="211"/>
      <c r="H19" s="209">
        <f>+B$211/B19</f>
        <v>1.8401362296657253</v>
      </c>
    </row>
    <row r="20" spans="1:8" ht="15" hidden="1">
      <c r="A20" s="230" t="s">
        <v>125</v>
      </c>
      <c r="B20" s="231">
        <v>2503.4699999999998</v>
      </c>
      <c r="C20" s="207">
        <f t="shared" si="0"/>
        <v>125.18101086065161</v>
      </c>
      <c r="D20" s="207">
        <f t="shared" si="1"/>
        <v>4.2743195118395416</v>
      </c>
      <c r="E20" s="207">
        <f t="shared" si="3"/>
        <v>19.824532853423161</v>
      </c>
      <c r="F20" s="210">
        <f>(100*(B20/B8-1))</f>
        <v>25.181010860651632</v>
      </c>
      <c r="G20" s="211"/>
      <c r="H20" s="209">
        <f>+B$211/B20</f>
        <v>1.7647070134624967</v>
      </c>
    </row>
    <row r="21" spans="1:8" ht="15" hidden="1">
      <c r="A21" s="230" t="s">
        <v>126</v>
      </c>
      <c r="B21" s="231">
        <v>2517.56</v>
      </c>
      <c r="C21" s="207">
        <f t="shared" si="0"/>
        <v>125.88555313318798</v>
      </c>
      <c r="D21" s="207">
        <f t="shared" si="1"/>
        <v>0.5628188074952023</v>
      </c>
      <c r="E21" s="207">
        <f t="shared" si="3"/>
        <v>20.498927860315508</v>
      </c>
      <c r="F21" s="210">
        <f t="shared" ref="F21:F32" si="4">(100*(B21/B9-1))</f>
        <v>21.976579116944528</v>
      </c>
      <c r="G21" s="211"/>
      <c r="H21" s="209">
        <f>+B$211/B21</f>
        <v>1.7548304973835605</v>
      </c>
    </row>
    <row r="22" spans="1:8" ht="15" hidden="1">
      <c r="A22" s="230" t="s">
        <v>127</v>
      </c>
      <c r="B22" s="231">
        <v>2486.9</v>
      </c>
      <c r="C22" s="207">
        <f t="shared" si="0"/>
        <v>124.35246114766885</v>
      </c>
      <c r="D22" s="207">
        <f t="shared" si="1"/>
        <v>-1.2178458507443701</v>
      </c>
      <c r="E22" s="207">
        <f t="shared" si="3"/>
        <v>19.031436667177193</v>
      </c>
      <c r="F22" s="210">
        <f t="shared" si="4"/>
        <v>19.031436667177193</v>
      </c>
      <c r="G22" s="211"/>
      <c r="H22" s="209">
        <f>+B$211/B22</f>
        <v>1.7764651039418378</v>
      </c>
    </row>
    <row r="23" spans="1:8" ht="15" hidden="1">
      <c r="A23" s="230" t="s">
        <v>128</v>
      </c>
      <c r="B23" s="231">
        <v>2504.2199999999998</v>
      </c>
      <c r="C23" s="207">
        <f t="shared" si="0"/>
        <v>125.21851311078663</v>
      </c>
      <c r="D23" s="207">
        <f t="shared" si="1"/>
        <v>0.69644939482889079</v>
      </c>
      <c r="E23" s="207">
        <f t="shared" ref="E23:E29" si="5">100*(B23/B$22-1)</f>
        <v>0.69644939482889079</v>
      </c>
      <c r="F23" s="210">
        <f t="shared" si="4"/>
        <v>18.479582519173164</v>
      </c>
      <c r="G23" s="211"/>
      <c r="H23" s="209">
        <f>+B$211/B23</f>
        <v>1.7641784935001545</v>
      </c>
    </row>
    <row r="24" spans="1:8" ht="15" hidden="1">
      <c r="A24" s="230" t="s">
        <v>129</v>
      </c>
      <c r="B24" s="231">
        <v>2539.7399999999998</v>
      </c>
      <c r="C24" s="207">
        <f t="shared" si="0"/>
        <v>126.99461967718061</v>
      </c>
      <c r="D24" s="207">
        <f t="shared" si="1"/>
        <v>1.4184057311258602</v>
      </c>
      <c r="E24" s="207">
        <f t="shared" si="5"/>
        <v>2.1247336040854048</v>
      </c>
      <c r="F24" s="210">
        <f t="shared" si="4"/>
        <v>18.019851670105382</v>
      </c>
      <c r="G24" s="211"/>
      <c r="H24" s="209">
        <f>+B$211/B24</f>
        <v>1.7395052513221656</v>
      </c>
    </row>
    <row r="25" spans="1:8" ht="15" hidden="1">
      <c r="A25" s="230" t="s">
        <v>130</v>
      </c>
      <c r="B25" s="231">
        <v>2558.7399999999998</v>
      </c>
      <c r="C25" s="207">
        <f t="shared" si="0"/>
        <v>127.94467668060082</v>
      </c>
      <c r="D25" s="207">
        <f t="shared" si="1"/>
        <v>0.74810807405483182</v>
      </c>
      <c r="E25" s="207">
        <f t="shared" si="5"/>
        <v>2.8887369817845343</v>
      </c>
      <c r="F25" s="210">
        <f t="shared" si="4"/>
        <v>16.431262627181887</v>
      </c>
      <c r="G25" s="211"/>
      <c r="H25" s="209">
        <f>+B$211/B25</f>
        <v>1.726588503323103</v>
      </c>
    </row>
    <row r="26" spans="1:8" ht="15" hidden="1">
      <c r="A26" s="230" t="s">
        <v>131</v>
      </c>
      <c r="B26" s="231">
        <v>2534.8000000000002</v>
      </c>
      <c r="C26" s="207">
        <f t="shared" si="0"/>
        <v>126.74760485629139</v>
      </c>
      <c r="D26" s="207">
        <f t="shared" si="1"/>
        <v>-0.93561674886857293</v>
      </c>
      <c r="E26" s="207">
        <f t="shared" si="5"/>
        <v>1.9260927258836436</v>
      </c>
      <c r="F26" s="210">
        <f t="shared" si="4"/>
        <v>15.026819019267968</v>
      </c>
      <c r="G26" s="211"/>
      <c r="H26" s="209">
        <f>+B$211/B26</f>
        <v>1.7428953238886524</v>
      </c>
    </row>
    <row r="27" spans="1:8" ht="15" hidden="1">
      <c r="A27" s="230" t="s">
        <v>132</v>
      </c>
      <c r="B27" s="231">
        <v>2503.59</v>
      </c>
      <c r="C27" s="207">
        <f t="shared" si="0"/>
        <v>125.18701122067323</v>
      </c>
      <c r="D27" s="207">
        <f t="shared" ref="D27:D32" si="6">100*(B27/B26-1)</f>
        <v>-1.2312608489821741</v>
      </c>
      <c r="E27" s="207">
        <f t="shared" si="5"/>
        <v>0.67111665125256792</v>
      </c>
      <c r="F27" s="210">
        <f t="shared" si="4"/>
        <v>11.135328533252853</v>
      </c>
      <c r="G27" s="211"/>
      <c r="H27" s="209">
        <f>+B$211/B27</f>
        <v>1.7646224289891541</v>
      </c>
    </row>
    <row r="28" spans="1:8" ht="15" hidden="1">
      <c r="A28" s="230" t="s">
        <v>133</v>
      </c>
      <c r="B28" s="231">
        <v>2521.7199999999998</v>
      </c>
      <c r="C28" s="207">
        <f t="shared" si="0"/>
        <v>126.09356561393682</v>
      </c>
      <c r="D28" s="207">
        <f t="shared" si="6"/>
        <v>0.72416010608764569</v>
      </c>
      <c r="E28" s="207">
        <f t="shared" si="5"/>
        <v>1.400136716393896</v>
      </c>
      <c r="F28" s="210">
        <f t="shared" si="4"/>
        <v>8.8905489608477328</v>
      </c>
      <c r="G28" s="211"/>
      <c r="H28" s="209">
        <f>+B$211/B28</f>
        <v>1.7519356102156294</v>
      </c>
    </row>
    <row r="29" spans="1:8" ht="15" hidden="1">
      <c r="A29" s="230" t="s">
        <v>134</v>
      </c>
      <c r="B29" s="231">
        <v>2555.2800000000002</v>
      </c>
      <c r="C29" s="207">
        <f t="shared" si="0"/>
        <v>127.77166629997801</v>
      </c>
      <c r="D29" s="207">
        <f t="shared" si="6"/>
        <v>1.3308376822169121</v>
      </c>
      <c r="E29" s="207">
        <f t="shared" si="5"/>
        <v>2.7496079456351241</v>
      </c>
      <c r="F29" s="210">
        <f t="shared" si="4"/>
        <v>11.586228580411895</v>
      </c>
      <c r="G29" s="211"/>
      <c r="H29" s="209">
        <f>+B$211/B29</f>
        <v>1.7289264061053802</v>
      </c>
    </row>
    <row r="30" spans="1:8" ht="15" hidden="1">
      <c r="A30" s="230" t="s">
        <v>135</v>
      </c>
      <c r="B30" s="231">
        <v>2418.0700000000002</v>
      </c>
      <c r="C30" s="207">
        <f t="shared" si="0"/>
        <v>120.91075464527873</v>
      </c>
      <c r="D30" s="207">
        <f t="shared" si="6"/>
        <v>-5.36966594658902</v>
      </c>
      <c r="E30" s="207">
        <f>100*(B30/B$22-1)</f>
        <v>-2.7677027624753658</v>
      </c>
      <c r="F30" s="210">
        <f t="shared" si="4"/>
        <v>4.6108786972905103</v>
      </c>
      <c r="G30" s="211"/>
      <c r="H30" s="209">
        <f>+B$211/B30</f>
        <v>1.8270319167736899</v>
      </c>
    </row>
    <row r="31" spans="1:8" ht="15" hidden="1">
      <c r="A31" s="230" t="s">
        <v>136</v>
      </c>
      <c r="B31" s="231">
        <v>2331.33</v>
      </c>
      <c r="C31" s="207">
        <f t="shared" si="0"/>
        <v>116.57349440966458</v>
      </c>
      <c r="D31" s="207">
        <f t="shared" si="6"/>
        <v>-3.5871583535629803</v>
      </c>
      <c r="E31" s="207">
        <f>100*(B31/B$22-1)</f>
        <v>-6.2555792351924104</v>
      </c>
      <c r="F31" s="210">
        <f t="shared" si="4"/>
        <v>-2.8956411271008231</v>
      </c>
      <c r="G31" s="211"/>
      <c r="H31" s="209">
        <f>+B$211/B31</f>
        <v>1.8950088863408254</v>
      </c>
    </row>
    <row r="32" spans="1:8" ht="15" hidden="1">
      <c r="A32" s="230" t="s">
        <v>137</v>
      </c>
      <c r="B32" s="231">
        <v>2367.5</v>
      </c>
      <c r="C32" s="207">
        <f t="shared" si="0"/>
        <v>118.38210292617556</v>
      </c>
      <c r="D32" s="207">
        <f t="shared" si="6"/>
        <v>1.5514749091720237</v>
      </c>
      <c r="E32" s="207">
        <f>100*(B32/B$22-1)</f>
        <v>-4.8011580682777772</v>
      </c>
      <c r="F32" s="210">
        <f t="shared" si="4"/>
        <v>-5.4312614091640672</v>
      </c>
      <c r="G32" s="211">
        <f t="shared" ref="G32:G37" si="7">100*(B32/B8-1)</f>
        <v>18.38210292617557</v>
      </c>
      <c r="H32" s="209">
        <f>+B$211/B32</f>
        <v>1.8660574728586934</v>
      </c>
    </row>
    <row r="33" spans="1:8" ht="15" hidden="1">
      <c r="A33" s="230" t="s">
        <v>138</v>
      </c>
      <c r="B33" s="231">
        <v>2455.87</v>
      </c>
      <c r="C33" s="207">
        <f t="shared" si="0"/>
        <v>122.80086805208312</v>
      </c>
      <c r="D33" s="207">
        <f t="shared" ref="D33:D38" si="8">100*(B33/B32-1)</f>
        <v>3.7326293558606061</v>
      </c>
      <c r="E33" s="207">
        <f>100*(B33/B$22-1)</f>
        <v>-1.2477381478949723</v>
      </c>
      <c r="F33" s="210">
        <f t="shared" ref="F33:F38" si="9">(100*(B33/B21-1))</f>
        <v>-2.4503884713770518</v>
      </c>
      <c r="G33" s="211">
        <f t="shared" si="7"/>
        <v>18.987679084482821</v>
      </c>
      <c r="H33" s="209">
        <f>+B$211/B33</f>
        <v>1.7989108002430734</v>
      </c>
    </row>
    <row r="34" spans="1:8" ht="15" hidden="1">
      <c r="A34" s="230" t="s">
        <v>139</v>
      </c>
      <c r="B34" s="231">
        <v>2455.09</v>
      </c>
      <c r="C34" s="207">
        <f t="shared" si="0"/>
        <v>122.7618657119427</v>
      </c>
      <c r="D34" s="207">
        <f t="shared" si="8"/>
        <v>-3.1760638796018981E-2</v>
      </c>
      <c r="E34" s="207">
        <f>100*(B34/B$22-1)</f>
        <v>-1.2791024970847165</v>
      </c>
      <c r="F34" s="210">
        <f t="shared" si="9"/>
        <v>-1.2791024970847165</v>
      </c>
      <c r="G34" s="211">
        <f t="shared" si="7"/>
        <v>17.508902588451527</v>
      </c>
      <c r="H34" s="209">
        <f>+B$211/B34</f>
        <v>1.7994823273252534</v>
      </c>
    </row>
    <row r="35" spans="1:8" ht="15" hidden="1">
      <c r="A35" s="230" t="s">
        <v>140</v>
      </c>
      <c r="B35" s="231">
        <v>2452.41</v>
      </c>
      <c r="C35" s="207">
        <f t="shared" si="0"/>
        <v>122.62785767146028</v>
      </c>
      <c r="D35" s="207">
        <f t="shared" si="8"/>
        <v>-0.10916096762237926</v>
      </c>
      <c r="E35" s="207">
        <f t="shared" ref="E35:E40" si="10">100*(B35/B$34-1)</f>
        <v>-0.10916096762237926</v>
      </c>
      <c r="F35" s="210">
        <f t="shared" si="9"/>
        <v>-2.0689076838296905</v>
      </c>
      <c r="G35" s="211">
        <f t="shared" si="7"/>
        <v>16.028349332664639</v>
      </c>
      <c r="H35" s="209">
        <f>+B$211/B35</f>
        <v>1.8014488062734031</v>
      </c>
    </row>
    <row r="36" spans="1:8" ht="15" hidden="1">
      <c r="A36" s="230" t="s">
        <v>141</v>
      </c>
      <c r="B36" s="231">
        <v>2456.14</v>
      </c>
      <c r="C36" s="207">
        <f t="shared" si="0"/>
        <v>122.81436886213172</v>
      </c>
      <c r="D36" s="207">
        <f t="shared" si="8"/>
        <v>0.15209528586166421</v>
      </c>
      <c r="E36" s="207">
        <f t="shared" si="10"/>
        <v>4.2768289553518635E-2</v>
      </c>
      <c r="F36" s="210">
        <f t="shared" si="9"/>
        <v>-3.29167552584122</v>
      </c>
      <c r="G36" s="211">
        <f t="shared" si="7"/>
        <v>14.135021097046408</v>
      </c>
      <c r="H36" s="209">
        <f>+B$211/B36</f>
        <v>1.798713048520425</v>
      </c>
    </row>
    <row r="37" spans="1:8" ht="15" hidden="1">
      <c r="A37" s="230" t="s">
        <v>142</v>
      </c>
      <c r="B37" s="231">
        <v>2435.09</v>
      </c>
      <c r="C37" s="207">
        <f t="shared" si="0"/>
        <v>121.76180570834249</v>
      </c>
      <c r="D37" s="207">
        <f t="shared" si="8"/>
        <v>-0.85703583671938866</v>
      </c>
      <c r="E37" s="207">
        <f t="shared" si="10"/>
        <v>-0.81463408673408955</v>
      </c>
      <c r="F37" s="210">
        <f t="shared" si="9"/>
        <v>-4.8324565997326712</v>
      </c>
      <c r="G37" s="211">
        <f t="shared" si="7"/>
        <v>10.804772392202565</v>
      </c>
      <c r="H37" s="209">
        <f>+B$211/B37</f>
        <v>1.8142619233757094</v>
      </c>
    </row>
    <row r="38" spans="1:8" ht="15" hidden="1">
      <c r="A38" s="230" t="s">
        <v>143</v>
      </c>
      <c r="B38" s="231">
        <v>2435.09</v>
      </c>
      <c r="C38" s="207">
        <f t="shared" si="0"/>
        <v>121.76180570834249</v>
      </c>
      <c r="D38" s="207">
        <f t="shared" si="8"/>
        <v>0</v>
      </c>
      <c r="E38" s="207">
        <f t="shared" si="10"/>
        <v>-0.81463408673408955</v>
      </c>
      <c r="F38" s="210">
        <f t="shared" si="9"/>
        <v>-3.9336436799747521</v>
      </c>
      <c r="G38" s="211">
        <f t="shared" ref="G38:G43" si="11">100*(B38/B14-1)</f>
        <v>10.502073822640522</v>
      </c>
      <c r="H38" s="209">
        <f>+B$211/B38</f>
        <v>1.8142619233757094</v>
      </c>
    </row>
    <row r="39" spans="1:8" ht="15" hidden="1">
      <c r="A39" s="230" t="s">
        <v>144</v>
      </c>
      <c r="B39" s="231">
        <v>2381.17</v>
      </c>
      <c r="C39" s="207">
        <f t="shared" si="0"/>
        <v>119.06564393863631</v>
      </c>
      <c r="D39" s="207">
        <f t="shared" ref="D39:D44" si="12">100*(B39/B38-1)</f>
        <v>-2.2142918742223072</v>
      </c>
      <c r="E39" s="207">
        <f t="shared" si="10"/>
        <v>-3.0108875845691996</v>
      </c>
      <c r="F39" s="210">
        <f t="shared" ref="F39:F44" si="13">(100*(B39/B27-1))</f>
        <v>-4.8897782783922317</v>
      </c>
      <c r="G39" s="211">
        <f t="shared" si="11"/>
        <v>5.7010573790140073</v>
      </c>
      <c r="H39" s="209">
        <f>+B$211/B39</f>
        <v>1.8553446696342371</v>
      </c>
    </row>
    <row r="40" spans="1:8" ht="15" hidden="1">
      <c r="A40" s="230" t="s">
        <v>145</v>
      </c>
      <c r="B40" s="231">
        <v>2369.5100000000002</v>
      </c>
      <c r="C40" s="207">
        <f t="shared" si="0"/>
        <v>118.4826089565374</v>
      </c>
      <c r="D40" s="207">
        <f t="shared" si="12"/>
        <v>-0.48967524368271897</v>
      </c>
      <c r="E40" s="207">
        <f t="shared" si="10"/>
        <v>-3.4858192571351698</v>
      </c>
      <c r="F40" s="210">
        <f t="shared" si="13"/>
        <v>-6.0359595831416479</v>
      </c>
      <c r="G40" s="211">
        <f t="shared" si="11"/>
        <v>2.3179594357098932</v>
      </c>
      <c r="H40" s="209">
        <f>+B$211/B40</f>
        <v>1.8644745398808007</v>
      </c>
    </row>
    <row r="41" spans="1:8" ht="15" hidden="1">
      <c r="A41" s="230" t="s">
        <v>146</v>
      </c>
      <c r="B41" s="231">
        <v>2360.46</v>
      </c>
      <c r="C41" s="207">
        <f t="shared" si="0"/>
        <v>118.03008180490829</v>
      </c>
      <c r="D41" s="207">
        <f t="shared" si="12"/>
        <v>-0.38193550565307488</v>
      </c>
      <c r="E41" s="207">
        <f t="shared" ref="E41:E46" si="14">100*(B41/B$34-1)</f>
        <v>-3.854441181382362</v>
      </c>
      <c r="F41" s="210">
        <f t="shared" si="13"/>
        <v>-7.624213393444168</v>
      </c>
      <c r="G41" s="211">
        <f t="shared" si="11"/>
        <v>3.0786563957448942</v>
      </c>
      <c r="H41" s="209">
        <f>+B$211/B41</f>
        <v>1.8716229323915492</v>
      </c>
    </row>
    <row r="42" spans="1:8" ht="15" hidden="1">
      <c r="A42" s="230" t="s">
        <v>147</v>
      </c>
      <c r="B42" s="231">
        <v>2361.13</v>
      </c>
      <c r="C42" s="207">
        <f t="shared" si="0"/>
        <v>118.06358381502889</v>
      </c>
      <c r="D42" s="212">
        <f t="shared" si="12"/>
        <v>2.8384297975825312E-2</v>
      </c>
      <c r="E42" s="212">
        <f t="shared" si="14"/>
        <v>-3.8271509394767644</v>
      </c>
      <c r="F42" s="213">
        <f t="shared" si="13"/>
        <v>-2.3547705401415153</v>
      </c>
      <c r="G42" s="211">
        <f t="shared" si="11"/>
        <v>2.1475325439435311</v>
      </c>
      <c r="H42" s="209">
        <f>+B$211/B42</f>
        <v>1.8710918361093867</v>
      </c>
    </row>
    <row r="43" spans="1:8" ht="15" hidden="1">
      <c r="A43" s="230" t="s">
        <v>148</v>
      </c>
      <c r="B43" s="231">
        <v>2425.0500000000002</v>
      </c>
      <c r="C43" s="207">
        <f t="shared" si="0"/>
        <v>121.2597755865352</v>
      </c>
      <c r="D43" s="212">
        <f t="shared" si="12"/>
        <v>2.7071783425732576</v>
      </c>
      <c r="E43" s="212">
        <f t="shared" si="14"/>
        <v>-1.2235803982746041</v>
      </c>
      <c r="F43" s="213">
        <f t="shared" si="13"/>
        <v>4.0200229053801939</v>
      </c>
      <c r="G43" s="211">
        <f t="shared" si="11"/>
        <v>1.0079763417123244</v>
      </c>
      <c r="H43" s="209">
        <f>+B$211/B43</f>
        <v>1.8217731869416944</v>
      </c>
    </row>
    <row r="44" spans="1:8" ht="15" hidden="1">
      <c r="A44" s="230" t="s">
        <v>149</v>
      </c>
      <c r="B44" s="231">
        <v>2429.1</v>
      </c>
      <c r="C44" s="207">
        <f t="shared" si="0"/>
        <v>121.46228773726423</v>
      </c>
      <c r="D44" s="212">
        <f t="shared" si="12"/>
        <v>0.16700686583781543</v>
      </c>
      <c r="E44" s="212">
        <f t="shared" si="14"/>
        <v>-1.0586169957109592</v>
      </c>
      <c r="F44" s="213">
        <f t="shared" si="13"/>
        <v>2.6019007391763438</v>
      </c>
      <c r="G44" s="211">
        <f t="shared" ref="G44:G49" si="15">100*(B44/B20-1)</f>
        <v>-2.970676700739372</v>
      </c>
      <c r="H44" s="209">
        <f>+B$211/B44</f>
        <v>1.818735773328787</v>
      </c>
    </row>
    <row r="45" spans="1:8" ht="15" hidden="1">
      <c r="A45" s="230" t="s">
        <v>150</v>
      </c>
      <c r="B45" s="231">
        <v>2428.79</v>
      </c>
      <c r="C45" s="207">
        <f t="shared" si="0"/>
        <v>121.44678680720843</v>
      </c>
      <c r="D45" s="212">
        <f t="shared" ref="D45:D50" si="16">100*(B45/B44-1)</f>
        <v>-1.2761928286197932E-2</v>
      </c>
      <c r="E45" s="212">
        <f t="shared" si="14"/>
        <v>-1.0712438240553346</v>
      </c>
      <c r="F45" s="213">
        <f t="shared" ref="F45:F50" si="17">(100*(B45/B33-1))</f>
        <v>-1.1026642289697741</v>
      </c>
      <c r="G45" s="211">
        <f t="shared" si="15"/>
        <v>-3.5260331432021452</v>
      </c>
      <c r="H45" s="209">
        <f>+B$211/B45</f>
        <v>1.8189679087088453</v>
      </c>
    </row>
    <row r="46" spans="1:8" ht="15" hidden="1">
      <c r="A46" s="230" t="s">
        <v>151</v>
      </c>
      <c r="B46" s="238">
        <v>2421.56</v>
      </c>
      <c r="C46" s="239">
        <f t="shared" si="0"/>
        <v>121.08526511590695</v>
      </c>
      <c r="D46" s="240">
        <f t="shared" si="16"/>
        <v>-0.29767909123472602</v>
      </c>
      <c r="E46" s="240">
        <f t="shared" si="14"/>
        <v>-1.3657340464097167</v>
      </c>
      <c r="F46" s="241">
        <f t="shared" si="17"/>
        <v>-1.3657340464097167</v>
      </c>
      <c r="G46" s="242">
        <f t="shared" si="15"/>
        <v>-2.6273674052032736</v>
      </c>
      <c r="H46" s="209">
        <f>+B$211/B46</f>
        <v>1.8243987623651516</v>
      </c>
    </row>
    <row r="47" spans="1:8" ht="15" hidden="1">
      <c r="A47" s="230" t="s">
        <v>152</v>
      </c>
      <c r="B47" s="231">
        <v>2440.34</v>
      </c>
      <c r="C47" s="207">
        <f t="shared" si="0"/>
        <v>122.02432145928755</v>
      </c>
      <c r="D47" s="212">
        <f t="shared" si="16"/>
        <v>0.77553312740548108</v>
      </c>
      <c r="E47" s="212">
        <f t="shared" ref="E47:E52" si="18">100*(B47/B$42-1)</f>
        <v>3.3547496325911697</v>
      </c>
      <c r="F47" s="213">
        <f t="shared" si="17"/>
        <v>-0.49216892770783671</v>
      </c>
      <c r="G47" s="211">
        <f t="shared" si="15"/>
        <v>-2.5508940907747579</v>
      </c>
      <c r="H47" s="209">
        <f>+B$211/B47</f>
        <v>1.8103588299142563</v>
      </c>
    </row>
    <row r="48" spans="1:8" ht="15" hidden="1">
      <c r="A48" s="230" t="s">
        <v>153</v>
      </c>
      <c r="B48" s="231">
        <v>2437.1999999999998</v>
      </c>
      <c r="C48" s="245">
        <f t="shared" si="0"/>
        <v>121.8673120387223</v>
      </c>
      <c r="D48" s="246">
        <f t="shared" si="16"/>
        <v>-0.1286705950810263</v>
      </c>
      <c r="E48" s="212">
        <f t="shared" si="18"/>
        <v>3.2217624611944107</v>
      </c>
      <c r="F48" s="247">
        <f t="shared" si="17"/>
        <v>-0.77112868158981662</v>
      </c>
      <c r="G48" s="211">
        <f t="shared" si="15"/>
        <v>-4.0374211533464095</v>
      </c>
      <c r="H48" s="209">
        <f>+B$211/B48</f>
        <v>1.812691230507532</v>
      </c>
    </row>
    <row r="49" spans="1:8" ht="15" hidden="1">
      <c r="A49" s="230" t="s">
        <v>154</v>
      </c>
      <c r="B49" s="231">
        <v>2408.96</v>
      </c>
      <c r="C49" s="207">
        <f t="shared" si="0"/>
        <v>120.45522731363882</v>
      </c>
      <c r="D49" s="212">
        <f t="shared" si="16"/>
        <v>-1.1587067126210271</v>
      </c>
      <c r="E49" s="212">
        <f t="shared" si="18"/>
        <v>2.0257249706708169</v>
      </c>
      <c r="F49" s="213">
        <f t="shared" si="17"/>
        <v>-1.0730609546259151</v>
      </c>
      <c r="G49" s="211">
        <f t="shared" si="15"/>
        <v>-5.853662349437605</v>
      </c>
      <c r="H49" s="209">
        <f>+B$211/B49</f>
        <v>1.8339412306526286</v>
      </c>
    </row>
    <row r="50" spans="1:8" ht="15" hidden="1">
      <c r="A50" s="230" t="s">
        <v>155</v>
      </c>
      <c r="B50" s="238">
        <v>2538.19</v>
      </c>
      <c r="C50" s="239">
        <f t="shared" si="0"/>
        <v>126.91711502690161</v>
      </c>
      <c r="D50" s="240">
        <f t="shared" si="16"/>
        <v>5.3645556588735488</v>
      </c>
      <c r="E50" s="240">
        <f t="shared" si="18"/>
        <v>7.4989517730916999</v>
      </c>
      <c r="F50" s="241">
        <f t="shared" si="17"/>
        <v>4.2339297520830765</v>
      </c>
      <c r="G50" s="242">
        <f t="shared" ref="G50:G77" si="19">100*(B50/B26-1)</f>
        <v>0.1337383620009458</v>
      </c>
      <c r="H50" s="209">
        <f>+B$211/B50</f>
        <v>1.7405675174013593</v>
      </c>
    </row>
    <row r="51" spans="1:8" ht="15" hidden="1">
      <c r="A51" s="230" t="s">
        <v>156</v>
      </c>
      <c r="B51" s="231">
        <v>2537.7600000000002</v>
      </c>
      <c r="C51" s="207">
        <f t="shared" si="0"/>
        <v>126.89561373682422</v>
      </c>
      <c r="D51" s="212">
        <f>100*(B51/B50-1)</f>
        <v>-1.6941206135079323E-2</v>
      </c>
      <c r="E51" s="212">
        <f t="shared" si="18"/>
        <v>7.4807401540787799</v>
      </c>
      <c r="F51" s="213">
        <f t="shared" ref="F51:F64" si="20">(100*(B51/B39-1))</f>
        <v>6.5761789372451362</v>
      </c>
      <c r="G51" s="211">
        <f t="shared" si="19"/>
        <v>1.3648400896312918</v>
      </c>
      <c r="H51" s="209">
        <f>+B$211/B51</f>
        <v>1.7408624404959319</v>
      </c>
    </row>
    <row r="52" spans="1:8" ht="15" hidden="1">
      <c r="A52" s="230" t="s">
        <v>157</v>
      </c>
      <c r="B52" s="231">
        <v>2550.8413715567867</v>
      </c>
      <c r="C52" s="207">
        <f t="shared" si="0"/>
        <v>127.549721561133</v>
      </c>
      <c r="D52" s="212">
        <f>100*(B52/B51-1)</f>
        <v>0.51546921524441291</v>
      </c>
      <c r="E52" s="212">
        <f t="shared" si="18"/>
        <v>8.0347702818898803</v>
      </c>
      <c r="F52" s="213">
        <f t="shared" si="20"/>
        <v>7.6526949266635835</v>
      </c>
      <c r="G52" s="211">
        <f t="shared" si="19"/>
        <v>1.1548217707273878</v>
      </c>
      <c r="H52" s="209">
        <f>+B$211/B52</f>
        <v>1.731934849518574</v>
      </c>
    </row>
    <row r="53" spans="1:8" ht="15" hidden="1" customHeight="1">
      <c r="A53" s="230" t="s">
        <v>158</v>
      </c>
      <c r="B53" s="231">
        <v>2550.8413715567867</v>
      </c>
      <c r="C53" s="207">
        <f t="shared" si="0"/>
        <v>127.549721561133</v>
      </c>
      <c r="D53" s="212">
        <f>100*(B53/B52-1)</f>
        <v>0</v>
      </c>
      <c r="E53" s="212">
        <f t="shared" ref="E53:E58" si="21">100*(B53/B$42-1)</f>
        <v>8.0347702818898803</v>
      </c>
      <c r="F53" s="213">
        <f t="shared" si="20"/>
        <v>8.0654351930042001</v>
      </c>
      <c r="G53" s="211">
        <f t="shared" si="19"/>
        <v>-0.17370419066455867</v>
      </c>
      <c r="H53" s="209">
        <f>+B$211/B53</f>
        <v>1.731934849518574</v>
      </c>
    </row>
    <row r="54" spans="1:8" ht="15" hidden="1" customHeight="1">
      <c r="A54" s="230" t="s">
        <v>159</v>
      </c>
      <c r="B54" s="231">
        <v>2734.9376402247271</v>
      </c>
      <c r="C54" s="207">
        <f t="shared" si="0"/>
        <v>136.75508731647534</v>
      </c>
      <c r="D54" s="212">
        <f t="shared" ref="D54:D59" si="22">100*(B54/B53-1)</f>
        <v>7.2170802434330161</v>
      </c>
      <c r="E54" s="212">
        <f t="shared" si="21"/>
        <v>15.831726343942387</v>
      </c>
      <c r="F54" s="213">
        <f t="shared" si="20"/>
        <v>15.831726343942387</v>
      </c>
      <c r="G54" s="211">
        <f t="shared" si="19"/>
        <v>13.104154975857885</v>
      </c>
      <c r="H54" s="209">
        <f>+B$211/B54</f>
        <v>1.6153534918002528</v>
      </c>
    </row>
    <row r="55" spans="1:8" ht="15" hidden="1" customHeight="1">
      <c r="A55" s="230" t="s">
        <v>160</v>
      </c>
      <c r="B55" s="231">
        <v>2751.2550453781437</v>
      </c>
      <c r="C55" s="207">
        <f t="shared" si="0"/>
        <v>137.57100652929893</v>
      </c>
      <c r="D55" s="212">
        <f t="shared" si="22"/>
        <v>0.59662805152937981</v>
      </c>
      <c r="E55" s="212">
        <f t="shared" si="21"/>
        <v>16.522810915881102</v>
      </c>
      <c r="F55" s="213">
        <f t="shared" si="20"/>
        <v>13.451477098539977</v>
      </c>
      <c r="G55" s="211">
        <f t="shared" si="19"/>
        <v>18.012252464393441</v>
      </c>
      <c r="H55" s="209">
        <f>+B$211/B55</f>
        <v>1.6057729996405126</v>
      </c>
    </row>
    <row r="56" spans="1:8" ht="15" hidden="1" customHeight="1">
      <c r="A56" s="230" t="s">
        <v>161</v>
      </c>
      <c r="B56" s="231">
        <v>2754.1676727673362</v>
      </c>
      <c r="C56" s="207">
        <f t="shared" si="0"/>
        <v>137.71664663716501</v>
      </c>
      <c r="D56" s="212">
        <f t="shared" si="22"/>
        <v>0.10586540837373981</v>
      </c>
      <c r="E56" s="212">
        <f t="shared" si="21"/>
        <v>16.646168265505757</v>
      </c>
      <c r="F56" s="213">
        <f t="shared" si="20"/>
        <v>13.382226864572733</v>
      </c>
      <c r="G56" s="211">
        <f t="shared" si="19"/>
        <v>16.332319863456647</v>
      </c>
      <c r="H56" s="209">
        <f>+B$211/B56</f>
        <v>1.6040748392613084</v>
      </c>
    </row>
    <row r="57" spans="1:8" ht="15" hidden="1" customHeight="1">
      <c r="A57" s="230" t="s">
        <v>162</v>
      </c>
      <c r="B57" s="231">
        <v>2759.2910313236698</v>
      </c>
      <c r="C57" s="207">
        <f t="shared" si="0"/>
        <v>137.97282993597963</v>
      </c>
      <c r="D57" s="212">
        <f t="shared" si="22"/>
        <v>0.18602202788857714</v>
      </c>
      <c r="E57" s="212">
        <f t="shared" si="21"/>
        <v>16.863155833167575</v>
      </c>
      <c r="F57" s="213">
        <f t="shared" si="20"/>
        <v>13.607641307962815</v>
      </c>
      <c r="G57" s="211">
        <f t="shared" si="19"/>
        <v>12.354930485883608</v>
      </c>
      <c r="H57" s="209">
        <f>+B$211/B57</f>
        <v>1.6010964471818085</v>
      </c>
    </row>
    <row r="58" spans="1:8" ht="15" hidden="1" customHeight="1">
      <c r="A58" s="230" t="s">
        <v>163</v>
      </c>
      <c r="B58" s="231">
        <v>2769.5059175037336</v>
      </c>
      <c r="C58" s="207">
        <f t="shared" si="0"/>
        <v>138.48360489148016</v>
      </c>
      <c r="D58" s="212">
        <f t="shared" si="22"/>
        <v>0.37019966593243581</v>
      </c>
      <c r="E58" s="212">
        <f t="shared" si="21"/>
        <v>17.295782845660067</v>
      </c>
      <c r="F58" s="213">
        <f t="shared" si="20"/>
        <v>14.368668028202226</v>
      </c>
      <c r="G58" s="211">
        <f t="shared" si="19"/>
        <v>12.806696190515755</v>
      </c>
      <c r="H58" s="209">
        <f>+B$211/B58</f>
        <v>1.595191055224384</v>
      </c>
    </row>
    <row r="59" spans="1:8" ht="15" hidden="1" customHeight="1">
      <c r="A59" s="230" t="s">
        <v>164</v>
      </c>
      <c r="B59" s="231">
        <f>[105]PLANCUSr!$H$172</f>
        <v>2774.4746976631532</v>
      </c>
      <c r="C59" s="207">
        <f t="shared" si="0"/>
        <v>138.73205880668604</v>
      </c>
      <c r="D59" s="212">
        <f t="shared" si="22"/>
        <v>0.17941034637318776</v>
      </c>
      <c r="E59" s="212">
        <f t="shared" ref="E59:E64" si="23">100*(B59/B$58-1)</f>
        <v>0.17941034637318776</v>
      </c>
      <c r="F59" s="213">
        <f t="shared" si="20"/>
        <v>13.692137065456155</v>
      </c>
      <c r="G59" s="211">
        <f t="shared" si="19"/>
        <v>13.132579693573</v>
      </c>
      <c r="H59" s="209">
        <f>+B$211/B59</f>
        <v>1.5923342428438787</v>
      </c>
    </row>
    <row r="60" spans="1:8" ht="15" hidden="1" customHeight="1">
      <c r="A60" s="230" t="s">
        <v>165</v>
      </c>
      <c r="B60" s="231">
        <f>[106]PLANCUSr!$H$172</f>
        <v>2785.4618779069506</v>
      </c>
      <c r="C60" s="207">
        <f t="shared" si="0"/>
        <v>139.28145078239447</v>
      </c>
      <c r="D60" s="212">
        <f t="shared" ref="D60:D65" si="24">100*(B60/B59-1)</f>
        <v>0.39600938704005273</v>
      </c>
      <c r="E60" s="212">
        <f t="shared" si="23"/>
        <v>0.57613021522622265</v>
      </c>
      <c r="F60" s="213">
        <f t="shared" si="20"/>
        <v>14.289425484447339</v>
      </c>
      <c r="G60" s="211">
        <f t="shared" si="19"/>
        <v>13.408106944512554</v>
      </c>
      <c r="H60" s="209">
        <f>+B$211/B60</f>
        <v>1.5860533228021216</v>
      </c>
    </row>
    <row r="61" spans="1:8" ht="15" hidden="1" customHeight="1">
      <c r="A61" s="230" t="s">
        <v>166</v>
      </c>
      <c r="B61" s="231">
        <f>[107]PLANCUSr!$H$172</f>
        <v>2786.612757132204</v>
      </c>
      <c r="C61" s="207">
        <f t="shared" si="0"/>
        <v>139.33899819650199</v>
      </c>
      <c r="D61" s="212">
        <f t="shared" si="24"/>
        <v>4.13173568944325E-2</v>
      </c>
      <c r="E61" s="212">
        <f t="shared" si="23"/>
        <v>0.61768561389785592</v>
      </c>
      <c r="F61" s="213">
        <f t="shared" si="20"/>
        <v>15.677004065331257</v>
      </c>
      <c r="G61" s="211">
        <f t="shared" si="19"/>
        <v>14.435719301225159</v>
      </c>
      <c r="H61" s="209">
        <f>+B$211/B61</f>
        <v>1.5853982781373452</v>
      </c>
    </row>
    <row r="62" spans="1:8" ht="15" hidden="1" customHeight="1">
      <c r="A62" s="230" t="s">
        <v>167</v>
      </c>
      <c r="B62" s="231">
        <f>[108]PLANCUSr!$H$172</f>
        <v>2795.3920639225194</v>
      </c>
      <c r="C62" s="207">
        <f t="shared" si="0"/>
        <v>139.7779898755185</v>
      </c>
      <c r="D62" s="212">
        <f t="shared" si="24"/>
        <v>0.31505298925533776</v>
      </c>
      <c r="E62" s="212">
        <f t="shared" si="23"/>
        <v>0.9346846401439679</v>
      </c>
      <c r="F62" s="213">
        <f t="shared" si="20"/>
        <v>10.133286472743141</v>
      </c>
      <c r="G62" s="211">
        <f t="shared" si="19"/>
        <v>14.79625245565952</v>
      </c>
      <c r="H62" s="209">
        <f>+B$211/B62</f>
        <v>1.5804191204555871</v>
      </c>
    </row>
    <row r="63" spans="1:8" ht="15" hidden="1" customHeight="1">
      <c r="A63" s="230" t="s">
        <v>168</v>
      </c>
      <c r="B63" s="231">
        <f>[109]PLANCUSr!$H$172</f>
        <v>2794.738231361926</v>
      </c>
      <c r="C63" s="207">
        <f t="shared" si="0"/>
        <v>139.74529628587342</v>
      </c>
      <c r="D63" s="212">
        <f t="shared" si="24"/>
        <v>-2.3389655033789758E-2</v>
      </c>
      <c r="E63" s="212">
        <f t="shared" si="23"/>
        <v>0.91107636559719651</v>
      </c>
      <c r="F63" s="213">
        <f t="shared" si="20"/>
        <v>10.12618338069502</v>
      </c>
      <c r="G63" s="211">
        <f t="shared" si="19"/>
        <v>17.368278256568239</v>
      </c>
      <c r="H63" s="209">
        <f>+B$211/B63</f>
        <v>1.5807888615171086</v>
      </c>
    </row>
    <row r="64" spans="1:8" ht="15" hidden="1" customHeight="1">
      <c r="A64" s="230" t="s">
        <v>169</v>
      </c>
      <c r="B64" s="231">
        <f>[110]PLANCUSr!$H$172</f>
        <v>2806.3722945040818</v>
      </c>
      <c r="C64" s="207">
        <f t="shared" si="0"/>
        <v>140.32703434726491</v>
      </c>
      <c r="D64" s="212">
        <f t="shared" si="24"/>
        <v>0.41628453826554335</v>
      </c>
      <c r="E64" s="212">
        <f t="shared" si="23"/>
        <v>1.3311535739045199</v>
      </c>
      <c r="F64" s="213">
        <f t="shared" si="20"/>
        <v>10.01751523229153</v>
      </c>
      <c r="G64" s="211">
        <f t="shared" si="19"/>
        <v>18.436820038914448</v>
      </c>
      <c r="H64" s="209">
        <f>+B$211/B64</f>
        <v>1.574235562275478</v>
      </c>
    </row>
    <row r="65" spans="1:8" ht="15" hidden="1" customHeight="1">
      <c r="A65" s="230" t="s">
        <v>170</v>
      </c>
      <c r="B65" s="231">
        <f>[111]PLANCUSr!$H$172</f>
        <v>2822.0050435610979</v>
      </c>
      <c r="C65" s="207">
        <f t="shared" si="0"/>
        <v>141.10871870117694</v>
      </c>
      <c r="D65" s="212">
        <f t="shared" si="24"/>
        <v>0.55704473307518487</v>
      </c>
      <c r="E65" s="212">
        <f t="shared" ref="E65:E70" si="25">100*(B65/B$58-1)</f>
        <v>1.8956134278522718</v>
      </c>
      <c r="F65" s="213">
        <f t="shared" ref="F65:F70" si="26">(100*(B65/B53-1))</f>
        <v>10.630362006353188</v>
      </c>
      <c r="G65" s="211">
        <f t="shared" si="19"/>
        <v>19.55318215776154</v>
      </c>
      <c r="H65" s="209">
        <f>+B$211/B65</f>
        <v>1.5655149437358924</v>
      </c>
    </row>
    <row r="66" spans="1:8" ht="15" hidden="1" customHeight="1">
      <c r="A66" s="230" t="s">
        <v>171</v>
      </c>
      <c r="B66" s="231">
        <f>[112]PLANCUSr!$H$172</f>
        <v>2842.300288377854</v>
      </c>
      <c r="C66" s="207">
        <f t="shared" si="0"/>
        <v>142.12354183140258</v>
      </c>
      <c r="D66" s="212">
        <f t="shared" ref="D66:D71" si="27">100*(B66/B65-1)</f>
        <v>0.71917819080669076</v>
      </c>
      <c r="E66" s="212">
        <f t="shared" si="25"/>
        <v>2.628424457014078</v>
      </c>
      <c r="F66" s="213">
        <f t="shared" si="26"/>
        <v>3.9255976653385316</v>
      </c>
      <c r="G66" s="211">
        <f t="shared" si="19"/>
        <v>20.378813889021519</v>
      </c>
      <c r="H66" s="209">
        <f>+B$211/B66</f>
        <v>1.5543364946545875</v>
      </c>
    </row>
    <row r="67" spans="1:8" ht="15" hidden="1" customHeight="1">
      <c r="A67" s="230" t="s">
        <v>172</v>
      </c>
      <c r="B67" s="231">
        <f>[113]PLANCUSr!$H$172</f>
        <v>2843.1319136482084</v>
      </c>
      <c r="C67" s="207">
        <f t="shared" si="0"/>
        <v>142.1651255899458</v>
      </c>
      <c r="D67" s="212">
        <f t="shared" si="27"/>
        <v>2.9258881398108727E-2</v>
      </c>
      <c r="E67" s="212">
        <f t="shared" si="25"/>
        <v>2.6584523860067044</v>
      </c>
      <c r="F67" s="213">
        <f t="shared" si="26"/>
        <v>3.3394529679976248</v>
      </c>
      <c r="G67" s="211">
        <f t="shared" si="19"/>
        <v>17.240135817744306</v>
      </c>
      <c r="H67" s="209">
        <f>+B$211/B67</f>
        <v>1.5538818462081387</v>
      </c>
    </row>
    <row r="68" spans="1:8" ht="15" hidden="1" customHeight="1">
      <c r="A68" s="230" t="s">
        <v>173</v>
      </c>
      <c r="B68" s="231">
        <f>[114]PLANCUSr!$H$172</f>
        <v>2861.4972045029072</v>
      </c>
      <c r="C68" s="207">
        <f t="shared" si="0"/>
        <v>143.08344523185926</v>
      </c>
      <c r="D68" s="212">
        <f t="shared" si="27"/>
        <v>0.64595282289006128</v>
      </c>
      <c r="E68" s="212">
        <f t="shared" si="25"/>
        <v>3.3215775571293626</v>
      </c>
      <c r="F68" s="213">
        <f t="shared" si="26"/>
        <v>3.8969861129670491</v>
      </c>
      <c r="G68" s="211">
        <f t="shared" si="19"/>
        <v>17.800716500057923</v>
      </c>
      <c r="H68" s="209">
        <f>+B$211/B68</f>
        <v>1.543908922937572</v>
      </c>
    </row>
    <row r="69" spans="1:8" ht="15" hidden="1" customHeight="1">
      <c r="A69" s="230" t="s">
        <v>174</v>
      </c>
      <c r="B69" s="231">
        <f>[115]PLANCUSr!$H$172</f>
        <v>2861.8713287358137</v>
      </c>
      <c r="C69" s="207">
        <f t="shared" si="0"/>
        <v>143.10215256594464</v>
      </c>
      <c r="D69" s="212">
        <f t="shared" si="27"/>
        <v>1.3074422449821377E-2</v>
      </c>
      <c r="E69" s="212">
        <f t="shared" si="25"/>
        <v>3.3350862566609907</v>
      </c>
      <c r="F69" s="213">
        <f t="shared" si="26"/>
        <v>3.7176324007741401</v>
      </c>
      <c r="G69" s="211">
        <f t="shared" si="19"/>
        <v>17.831155790982912</v>
      </c>
      <c r="H69" s="209">
        <f>+B$211/B69</f>
        <v>1.5437070921509564</v>
      </c>
    </row>
    <row r="70" spans="1:8" ht="15" hidden="1" customHeight="1">
      <c r="A70" s="230" t="s">
        <v>175</v>
      </c>
      <c r="B70" s="231">
        <f>[116]PLANCUSr!$H$172</f>
        <v>2860.7061962472935</v>
      </c>
      <c r="C70" s="207">
        <f t="shared" si="0"/>
        <v>143.04389244591141</v>
      </c>
      <c r="D70" s="212">
        <f t="shared" si="27"/>
        <v>-4.0712259730935063E-2</v>
      </c>
      <c r="E70" s="212">
        <f t="shared" si="25"/>
        <v>3.2930162079509939</v>
      </c>
      <c r="F70" s="213">
        <f t="shared" si="26"/>
        <v>3.2930162079509939</v>
      </c>
      <c r="G70" s="211">
        <f t="shared" si="19"/>
        <v>18.134846803188598</v>
      </c>
      <c r="H70" s="209">
        <f>+B$211/B70</f>
        <v>1.544335826163622</v>
      </c>
    </row>
    <row r="71" spans="1:8" ht="15" hidden="1" customHeight="1">
      <c r="A71" s="230" t="s">
        <v>176</v>
      </c>
      <c r="B71" s="231">
        <f>[117]PLANCUSr!$H$172</f>
        <v>2841.5156893051421</v>
      </c>
      <c r="C71" s="207">
        <f t="shared" si="0"/>
        <v>142.08430952382852</v>
      </c>
      <c r="D71" s="212">
        <f t="shared" si="27"/>
        <v>-0.67083110342913699</v>
      </c>
      <c r="E71" s="212">
        <f t="shared" ref="E71:E76" si="28">100*(B71/B$70-1)</f>
        <v>-0.67083110342913699</v>
      </c>
      <c r="F71" s="213">
        <f t="shared" ref="F71:F76" si="29">(100*(B71/B59-1))</f>
        <v>2.4163490010723487</v>
      </c>
      <c r="G71" s="211">
        <f t="shared" si="19"/>
        <v>16.43933588373514</v>
      </c>
      <c r="H71" s="209">
        <f>+B$211/B71</f>
        <v>1.5547656779165269</v>
      </c>
    </row>
    <row r="72" spans="1:8" ht="15" hidden="1" customHeight="1">
      <c r="A72" s="230" t="s">
        <v>177</v>
      </c>
      <c r="B72" s="231">
        <f>[118]PLANCUSr!$H$172</f>
        <v>2847.2900591422563</v>
      </c>
      <c r="C72" s="207">
        <f t="shared" si="0"/>
        <v>142.3730453398332</v>
      </c>
      <c r="D72" s="212">
        <f t="shared" ref="D72:D77" si="30">100*(B72/B71-1)</f>
        <v>0.20321442738633344</v>
      </c>
      <c r="E72" s="212">
        <f t="shared" si="28"/>
        <v>-0.46897990162837466</v>
      </c>
      <c r="F72" s="213">
        <f t="shared" si="29"/>
        <v>2.2196742926442248</v>
      </c>
      <c r="G72" s="211">
        <f t="shared" si="19"/>
        <v>16.826278481136402</v>
      </c>
      <c r="H72" s="209">
        <f>+B$211/B72</f>
        <v>1.5516125773023077</v>
      </c>
    </row>
    <row r="73" spans="1:8" ht="15" hidden="1" customHeight="1">
      <c r="A73" s="230" t="s">
        <v>178</v>
      </c>
      <c r="B73" s="231">
        <f>[119]PLANCUSr!$H$134</f>
        <v>2842.9876113215555</v>
      </c>
      <c r="C73" s="207">
        <f t="shared" si="0"/>
        <v>142.15791004068021</v>
      </c>
      <c r="D73" s="212">
        <f t="shared" si="30"/>
        <v>-0.15110676226632869</v>
      </c>
      <c r="E73" s="212">
        <f t="shared" si="28"/>
        <v>-0.61937800354966432</v>
      </c>
      <c r="F73" s="213">
        <f t="shared" si="29"/>
        <v>2.0230602205154824</v>
      </c>
      <c r="G73" s="211">
        <f t="shared" si="19"/>
        <v>18.017219518861062</v>
      </c>
      <c r="H73" s="209">
        <f>+B$211/B73</f>
        <v>1.5539607170287004</v>
      </c>
    </row>
    <row r="74" spans="1:8" ht="15" hidden="1" customHeight="1">
      <c r="A74" s="230" t="s">
        <v>179</v>
      </c>
      <c r="B74" s="231">
        <f>[120]PLANCUSr!$H$134</f>
        <v>2846.7916660648316</v>
      </c>
      <c r="C74" s="207">
        <f t="shared" si="0"/>
        <v>142.34812419069303</v>
      </c>
      <c r="D74" s="212">
        <f t="shared" si="30"/>
        <v>0.13380483010645428</v>
      </c>
      <c r="E74" s="212">
        <f t="shared" si="28"/>
        <v>-0.48640193112858832</v>
      </c>
      <c r="F74" s="213">
        <f t="shared" si="29"/>
        <v>1.8387260522657378</v>
      </c>
      <c r="G74" s="211">
        <f t="shared" si="19"/>
        <v>12.158335903333928</v>
      </c>
      <c r="H74" s="209">
        <f>+B$211/B74</f>
        <v>1.5518842209833648</v>
      </c>
    </row>
    <row r="75" spans="1:8" ht="15" hidden="1" customHeight="1">
      <c r="A75" s="230" t="s">
        <v>180</v>
      </c>
      <c r="B75" s="231">
        <f>[121]PLANCUSr!$H$134</f>
        <v>2858.33545176813</v>
      </c>
      <c r="C75" s="207">
        <f t="shared" si="0"/>
        <v>142.92534810929305</v>
      </c>
      <c r="D75" s="212">
        <f t="shared" si="30"/>
        <v>0.40550159819934262</v>
      </c>
      <c r="E75" s="212">
        <f t="shared" si="28"/>
        <v>-8.2872700533642707E-2</v>
      </c>
      <c r="F75" s="213">
        <f t="shared" si="29"/>
        <v>2.2756056253329993</v>
      </c>
      <c r="G75" s="211">
        <f t="shared" si="19"/>
        <v>12.632221004670651</v>
      </c>
      <c r="H75" s="209">
        <f>+B$211/B75</f>
        <v>1.545616720479783</v>
      </c>
    </row>
    <row r="76" spans="1:8" ht="15" hidden="1" customHeight="1">
      <c r="A76" s="230" t="s">
        <v>181</v>
      </c>
      <c r="B76" s="231">
        <f>[122]PLANCUSr!$H$134</f>
        <v>2850.3148621793302</v>
      </c>
      <c r="C76" s="207">
        <f t="shared" si="0"/>
        <v>142.52429456664049</v>
      </c>
      <c r="D76" s="212">
        <f t="shared" si="30"/>
        <v>-0.28060350942498147</v>
      </c>
      <c r="E76" s="212">
        <f t="shared" si="28"/>
        <v>-0.36324366625257731</v>
      </c>
      <c r="F76" s="213">
        <f t="shared" si="29"/>
        <v>1.5658139072034061</v>
      </c>
      <c r="G76" s="211">
        <f t="shared" si="19"/>
        <v>11.74018478615837</v>
      </c>
      <c r="H76" s="209">
        <f>+B$211/B76</f>
        <v>1.549965979412909</v>
      </c>
    </row>
    <row r="77" spans="1:8" ht="15" hidden="1" customHeight="1">
      <c r="A77" s="230" t="s">
        <v>182</v>
      </c>
      <c r="B77" s="231">
        <f>[123]PLANCUSr!$H$134</f>
        <v>2849.9193580515234</v>
      </c>
      <c r="C77" s="207">
        <f t="shared" si="0"/>
        <v>142.50451817366658</v>
      </c>
      <c r="D77" s="212">
        <f t="shared" si="30"/>
        <v>-1.3875804847207629E-2</v>
      </c>
      <c r="E77" s="212">
        <f t="shared" ref="E77:E82" si="31">100*(B77/B$70-1)</f>
        <v>-0.37706906811753038</v>
      </c>
      <c r="F77" s="213">
        <f t="shared" ref="F77:F82" si="32">(100*(B77/B65-1))</f>
        <v>0.98916600287859424</v>
      </c>
      <c r="G77" s="211">
        <f t="shared" si="19"/>
        <v>11.724679936181538</v>
      </c>
      <c r="H77" s="209">
        <f>+B$211/B77</f>
        <v>1.5501810795142807</v>
      </c>
    </row>
    <row r="78" spans="1:8" ht="15" hidden="1" customHeight="1">
      <c r="A78" s="230" t="s">
        <v>183</v>
      </c>
      <c r="B78" s="231">
        <f>[124]PLANCUSr!$H$134</f>
        <v>2855.56420016231</v>
      </c>
      <c r="C78" s="207">
        <f t="shared" si="0"/>
        <v>142.78677721474838</v>
      </c>
      <c r="D78" s="212">
        <f t="shared" ref="D78:D83" si="33">100*(B78/B77-1)</f>
        <v>0.19807023994693473</v>
      </c>
      <c r="E78" s="212">
        <f t="shared" si="31"/>
        <v>-0.17974568977858763</v>
      </c>
      <c r="F78" s="213">
        <f t="shared" si="32"/>
        <v>0.46666117013365316</v>
      </c>
      <c r="G78" s="211">
        <f t="shared" ref="G78:G100" si="34">100*(B78/B54-1)</f>
        <v>4.4105780754719826</v>
      </c>
      <c r="H78" s="209">
        <f>+B$211/B78</f>
        <v>1.5471167017508638</v>
      </c>
    </row>
    <row r="79" spans="1:8" ht="15" hidden="1" customHeight="1">
      <c r="A79" s="230" t="s">
        <v>184</v>
      </c>
      <c r="B79" s="231">
        <f>[125]PLANCUSr!$H$134</f>
        <v>2859.2315216340635</v>
      </c>
      <c r="C79" s="207">
        <f t="shared" si="0"/>
        <v>142.97015429096064</v>
      </c>
      <c r="D79" s="212">
        <f t="shared" si="33"/>
        <v>0.12842721139119107</v>
      </c>
      <c r="E79" s="212">
        <f t="shared" si="31"/>
        <v>-5.1549320764376905E-2</v>
      </c>
      <c r="F79" s="213">
        <f t="shared" si="32"/>
        <v>0.56626313779428727</v>
      </c>
      <c r="G79" s="211">
        <f t="shared" si="34"/>
        <v>3.9246261969536622</v>
      </c>
      <c r="H79" s="209">
        <f>+B$211/B79</f>
        <v>1.545132331385362</v>
      </c>
    </row>
    <row r="80" spans="1:8" ht="15" hidden="1" customHeight="1">
      <c r="A80" s="230" t="s">
        <v>185</v>
      </c>
      <c r="B80" s="231">
        <f>[126]PLANCUSr!$H$134</f>
        <v>2866.278444771257</v>
      </c>
      <c r="C80" s="207">
        <f t="shared" si="0"/>
        <v>143.32252158985821</v>
      </c>
      <c r="D80" s="212">
        <f t="shared" si="33"/>
        <v>0.24646213795118666</v>
      </c>
      <c r="E80" s="212">
        <f t="shared" si="31"/>
        <v>0.19478576762874678</v>
      </c>
      <c r="F80" s="213">
        <f t="shared" si="32"/>
        <v>0.16708876251305682</v>
      </c>
      <c r="G80" s="211">
        <f t="shared" si="34"/>
        <v>4.0705863013515753</v>
      </c>
      <c r="H80" s="209">
        <f>+B$211/B80</f>
        <v>1.5413335278197391</v>
      </c>
    </row>
    <row r="81" spans="1:8" ht="15" hidden="1" customHeight="1">
      <c r="A81" s="230" t="s">
        <v>186</v>
      </c>
      <c r="B81" s="231">
        <f>[127]PLANCUSr!$H$134</f>
        <v>2869.8664884480499</v>
      </c>
      <c r="C81" s="207">
        <f t="shared" si="0"/>
        <v>143.50193453847481</v>
      </c>
      <c r="D81" s="212">
        <f t="shared" si="33"/>
        <v>0.12518126713538802</v>
      </c>
      <c r="E81" s="212">
        <f t="shared" si="31"/>
        <v>0.32021087005624782</v>
      </c>
      <c r="F81" s="213">
        <f t="shared" si="32"/>
        <v>0.27936824524421588</v>
      </c>
      <c r="G81" s="211">
        <f t="shared" si="34"/>
        <v>4.007386530421031</v>
      </c>
      <c r="H81" s="209">
        <f>+B$211/B81</f>
        <v>1.5394064792826088</v>
      </c>
    </row>
    <row r="82" spans="1:8" ht="15" hidden="1" customHeight="1">
      <c r="A82" s="230" t="s">
        <v>187</v>
      </c>
      <c r="B82" s="231">
        <f>[128]PLANCUSr!$H$134</f>
        <v>2875.8707591049797</v>
      </c>
      <c r="C82" s="207">
        <f t="shared" si="0"/>
        <v>143.80216608521408</v>
      </c>
      <c r="D82" s="212">
        <f t="shared" si="33"/>
        <v>0.20921776957563143</v>
      </c>
      <c r="E82" s="212">
        <f t="shared" si="31"/>
        <v>0.53009857767216673</v>
      </c>
      <c r="F82" s="213">
        <f t="shared" si="32"/>
        <v>0.53009857767216673</v>
      </c>
      <c r="G82" s="211">
        <f t="shared" si="34"/>
        <v>3.8405710177040087</v>
      </c>
      <c r="H82" s="209">
        <f>+B$211/B82</f>
        <v>1.5361924916152629</v>
      </c>
    </row>
    <row r="83" spans="1:8" ht="15" hidden="1" customHeight="1">
      <c r="A83" s="230" t="s">
        <v>188</v>
      </c>
      <c r="B83" s="231">
        <f>[129]PLANCUSr!$H$134</f>
        <v>2882.5943292776933</v>
      </c>
      <c r="C83" s="207">
        <f t="shared" si="0"/>
        <v>144.1383647657706</v>
      </c>
      <c r="D83" s="212">
        <f t="shared" si="33"/>
        <v>0.23379250098172211</v>
      </c>
      <c r="E83" s="212">
        <f t="shared" ref="E83:E88" si="35">100*(B83/B$82-1)</f>
        <v>0.23379250098172211</v>
      </c>
      <c r="F83" s="213">
        <f t="shared" ref="F83:F88" si="36">(100*(B83/B71-1))</f>
        <v>1.4456594460189764</v>
      </c>
      <c r="G83" s="211">
        <f t="shared" si="34"/>
        <v>3.8969406246741389</v>
      </c>
      <c r="H83" s="209">
        <f>+B$211/B83</f>
        <v>1.5326093658485656</v>
      </c>
    </row>
    <row r="84" spans="1:8" ht="15" hidden="1" customHeight="1">
      <c r="A84" s="230" t="s">
        <v>189</v>
      </c>
      <c r="B84" s="231">
        <f>[130]PLANCUSr!$H$134</f>
        <v>2879.4302962552401</v>
      </c>
      <c r="C84" s="207">
        <f t="shared" si="0"/>
        <v>143.98015362197933</v>
      </c>
      <c r="D84" s="212">
        <f t="shared" ref="D84:D89" si="37">100*(B84/B83-1)</f>
        <v>-0.10976338190625823</v>
      </c>
      <c r="E84" s="212">
        <f t="shared" si="35"/>
        <v>0.12377250051973654</v>
      </c>
      <c r="F84" s="213">
        <f t="shared" si="36"/>
        <v>1.1288009456495551</v>
      </c>
      <c r="G84" s="211">
        <f t="shared" si="34"/>
        <v>3.3735309426994986</v>
      </c>
      <c r="H84" s="209">
        <f>+B$211/B84</f>
        <v>1.5342934582366925</v>
      </c>
    </row>
    <row r="85" spans="1:8" ht="15" hidden="1" customHeight="1">
      <c r="A85" s="230" t="s">
        <v>190</v>
      </c>
      <c r="B85" s="231">
        <f>[131]PLANCUSr!$H$134</f>
        <v>2920.1407359925674</v>
      </c>
      <c r="C85" s="207">
        <f t="shared" si="0"/>
        <v>146.01579774749322</v>
      </c>
      <c r="D85" s="212">
        <f t="shared" si="37"/>
        <v>1.4138366117169898</v>
      </c>
      <c r="E85" s="212">
        <f t="shared" si="35"/>
        <v>1.5393590531643131</v>
      </c>
      <c r="F85" s="213">
        <f t="shared" si="36"/>
        <v>2.7138044627337488</v>
      </c>
      <c r="G85" s="211">
        <f t="shared" si="34"/>
        <v>4.7917665817973853</v>
      </c>
      <c r="H85" s="209">
        <f>+B$211/B85</f>
        <v>1.5129034750071035</v>
      </c>
    </row>
    <row r="86" spans="1:8" ht="15" hidden="1" customHeight="1">
      <c r="A86" s="230" t="s">
        <v>191</v>
      </c>
      <c r="B86" s="231">
        <f>[132]PLANCUSr!$H$134</f>
        <v>2952.539484430245</v>
      </c>
      <c r="C86" s="207">
        <f t="shared" si="0"/>
        <v>147.63583237145451</v>
      </c>
      <c r="D86" s="212">
        <f t="shared" si="37"/>
        <v>1.1094927048666658</v>
      </c>
      <c r="E86" s="212">
        <f t="shared" si="35"/>
        <v>2.6659308344275434</v>
      </c>
      <c r="F86" s="213">
        <f t="shared" si="36"/>
        <v>3.7146314437399797</v>
      </c>
      <c r="G86" s="211">
        <f t="shared" si="34"/>
        <v>5.6216593921074143</v>
      </c>
      <c r="H86" s="209">
        <f>+B$211/B86</f>
        <v>1.4963021122291551</v>
      </c>
    </row>
    <row r="87" spans="1:8" ht="15" hidden="1" customHeight="1">
      <c r="A87" s="230" t="s">
        <v>192</v>
      </c>
      <c r="B87" s="231">
        <f>[133]PLANCUSr!$H$134</f>
        <v>2952.539484430245</v>
      </c>
      <c r="C87" s="207">
        <f t="shared" si="0"/>
        <v>147.63583237145451</v>
      </c>
      <c r="D87" s="212">
        <f t="shared" si="37"/>
        <v>0</v>
      </c>
      <c r="E87" s="212">
        <f t="shared" si="35"/>
        <v>2.6659308344275434</v>
      </c>
      <c r="F87" s="213">
        <f t="shared" si="36"/>
        <v>3.2957654639115708</v>
      </c>
      <c r="G87" s="211">
        <f t="shared" si="34"/>
        <v>5.6463697135391344</v>
      </c>
      <c r="H87" s="209">
        <f>+B$211/B87</f>
        <v>1.4963021122291551</v>
      </c>
    </row>
    <row r="88" spans="1:8" ht="15" hidden="1" customHeight="1">
      <c r="A88" s="230" t="s">
        <v>193</v>
      </c>
      <c r="B88" s="231">
        <f>[134]PLANCUSr!$H$134</f>
        <v>2968.9418316186429</v>
      </c>
      <c r="C88" s="207">
        <f t="shared" si="0"/>
        <v>148.4559989408686</v>
      </c>
      <c r="D88" s="212">
        <f t="shared" si="37"/>
        <v>0.55553354239268327</v>
      </c>
      <c r="E88" s="212">
        <f t="shared" si="35"/>
        <v>3.2362745168224683</v>
      </c>
      <c r="F88" s="213">
        <f t="shared" si="36"/>
        <v>4.1618900077801113</v>
      </c>
      <c r="G88" s="211">
        <f t="shared" si="34"/>
        <v>5.7928713675278409</v>
      </c>
      <c r="H88" s="209">
        <f>+B$211/B88</f>
        <v>1.4880355754846022</v>
      </c>
    </row>
    <row r="89" spans="1:8" ht="15" hidden="1" customHeight="1">
      <c r="A89" s="230" t="s">
        <v>194</v>
      </c>
      <c r="B89" s="231">
        <f>[135]PLANCUSr!$H$134</f>
        <v>2971.2195713434749</v>
      </c>
      <c r="C89" s="207">
        <f t="shared" si="0"/>
        <v>148.56989276073938</v>
      </c>
      <c r="D89" s="212">
        <f t="shared" si="37"/>
        <v>7.6718907072370612E-2</v>
      </c>
      <c r="E89" s="212">
        <f t="shared" ref="E89:E94" si="38">100*(B89/B$82-1)</f>
        <v>3.3154762583339936</v>
      </c>
      <c r="F89" s="213">
        <f t="shared" ref="F89:F100" si="39">(100*(B89/B77-1))</f>
        <v>4.2562682677057762</v>
      </c>
      <c r="G89" s="211">
        <f t="shared" si="34"/>
        <v>5.2875358292798325</v>
      </c>
      <c r="H89" s="209">
        <f>+B$211/B89</f>
        <v>1.4868948460094287</v>
      </c>
    </row>
    <row r="90" spans="1:8" ht="15" hidden="1" customHeight="1">
      <c r="A90" s="230" t="s">
        <v>195</v>
      </c>
      <c r="B90" s="231">
        <f>[136]PLANCUSr!$H$134</f>
        <v>2961.936677675737</v>
      </c>
      <c r="C90" s="207">
        <f t="shared" si="0"/>
        <v>148.10572022700046</v>
      </c>
      <c r="D90" s="212">
        <f t="shared" ref="D90:D95" si="40">100*(B90/B89-1)</f>
        <v>-0.31242705040275265</v>
      </c>
      <c r="E90" s="212">
        <f t="shared" si="38"/>
        <v>2.9926907632505273</v>
      </c>
      <c r="F90" s="213">
        <f t="shared" si="39"/>
        <v>3.7250949394652233</v>
      </c>
      <c r="G90" s="211">
        <f t="shared" si="34"/>
        <v>4.209139681231977</v>
      </c>
      <c r="H90" s="209">
        <f>+B$211/B90</f>
        <v>1.4915548668851768</v>
      </c>
    </row>
    <row r="91" spans="1:8" ht="15" hidden="1" customHeight="1">
      <c r="A91" s="230" t="s">
        <v>196</v>
      </c>
      <c r="B91" s="231">
        <f>[137]PLANCUSr!$H$134</f>
        <v>2933.7388153796333</v>
      </c>
      <c r="C91" s="207">
        <f t="shared" si="0"/>
        <v>146.69574251353248</v>
      </c>
      <c r="D91" s="212">
        <f t="shared" si="40"/>
        <v>-0.9520076005889111</v>
      </c>
      <c r="E91" s="212">
        <f t="shared" si="38"/>
        <v>2.0121925191333379</v>
      </c>
      <c r="F91" s="213">
        <f t="shared" si="39"/>
        <v>2.6058503196337401</v>
      </c>
      <c r="G91" s="211">
        <f t="shared" si="34"/>
        <v>3.1868694272142006</v>
      </c>
      <c r="H91" s="209">
        <f>+B$211/B91</f>
        <v>1.5058910642736512</v>
      </c>
    </row>
    <row r="92" spans="1:8" ht="15" hidden="1" customHeight="1">
      <c r="A92" s="230" t="s">
        <v>197</v>
      </c>
      <c r="B92" s="231">
        <f>[138]PLANCUSr!$H$134</f>
        <v>2986.9705069493875</v>
      </c>
      <c r="C92" s="207">
        <f t="shared" si="0"/>
        <v>149.35748679667716</v>
      </c>
      <c r="D92" s="212">
        <f t="shared" si="40"/>
        <v>1.8144659398681373</v>
      </c>
      <c r="E92" s="212">
        <f t="shared" si="38"/>
        <v>3.863169006905709</v>
      </c>
      <c r="F92" s="213">
        <f t="shared" si="39"/>
        <v>4.2107584627132155</v>
      </c>
      <c r="G92" s="211">
        <f t="shared" si="34"/>
        <v>4.3848829294340419</v>
      </c>
      <c r="H92" s="209">
        <f>+B$211/B92</f>
        <v>1.4790541308373939</v>
      </c>
    </row>
    <row r="93" spans="1:8" ht="15" hidden="1" customHeight="1">
      <c r="A93" s="230" t="s">
        <v>198</v>
      </c>
      <c r="B93" s="231">
        <f>[139]PLANCUSr!$H$134</f>
        <v>2986.9705069493875</v>
      </c>
      <c r="C93" s="207">
        <f t="shared" si="0"/>
        <v>149.35748679667716</v>
      </c>
      <c r="D93" s="212">
        <f t="shared" si="40"/>
        <v>0</v>
      </c>
      <c r="E93" s="212">
        <f t="shared" si="38"/>
        <v>3.863169006905709</v>
      </c>
      <c r="F93" s="213">
        <f t="shared" si="39"/>
        <v>4.0804692125125497</v>
      </c>
      <c r="G93" s="211">
        <f t="shared" si="34"/>
        <v>4.371236992993488</v>
      </c>
      <c r="H93" s="209">
        <f>+B$211/B93</f>
        <v>1.4790541308373939</v>
      </c>
    </row>
    <row r="94" spans="1:8" ht="15" hidden="1" customHeight="1">
      <c r="A94" s="230" t="s">
        <v>199</v>
      </c>
      <c r="B94" s="231">
        <f>[140]PLANCUSr!$H$134</f>
        <v>2993.2985729942948</v>
      </c>
      <c r="C94" s="207">
        <f t="shared" si="0"/>
        <v>149.67390908425978</v>
      </c>
      <c r="D94" s="212">
        <f t="shared" si="40"/>
        <v>0.21185565877481771</v>
      </c>
      <c r="E94" s="212">
        <f t="shared" si="38"/>
        <v>4.0832090078297023</v>
      </c>
      <c r="F94" s="213">
        <f t="shared" si="39"/>
        <v>4.0832090078297023</v>
      </c>
      <c r="G94" s="211">
        <f t="shared" si="34"/>
        <v>4.6349526183757428</v>
      </c>
      <c r="H94" s="209">
        <f>+B$211/B94</f>
        <v>1.475927295342808</v>
      </c>
    </row>
    <row r="95" spans="1:8" ht="16.5" customHeight="1">
      <c r="A95" s="232" t="s">
        <v>200</v>
      </c>
      <c r="B95" s="231">
        <f>[141]PLANCUSr!$H$134</f>
        <v>2987.3349923431597</v>
      </c>
      <c r="C95" s="207">
        <f t="shared" si="0"/>
        <v>149.37571215988754</v>
      </c>
      <c r="D95" s="214">
        <f t="shared" si="40"/>
        <v>-0.19923106585286732</v>
      </c>
      <c r="E95" s="214">
        <f t="shared" ref="E95:E100" si="41">100*(B95/B$94-1)</f>
        <v>-0.19923106585286732</v>
      </c>
      <c r="F95" s="215">
        <f t="shared" si="39"/>
        <v>3.6335554400300119</v>
      </c>
      <c r="G95" s="216">
        <f t="shared" si="34"/>
        <v>5.1317437234941199</v>
      </c>
      <c r="H95" s="209">
        <f>+B$211/B95</f>
        <v>1.4788736711203987</v>
      </c>
    </row>
    <row r="96" spans="1:8" ht="16.5" customHeight="1">
      <c r="A96" s="232" t="s">
        <v>201</v>
      </c>
      <c r="B96" s="231">
        <f>[142]PLANCUSr!$H$134</f>
        <v>2987.3349923431597</v>
      </c>
      <c r="C96" s="207">
        <f t="shared" si="0"/>
        <v>149.37571215988754</v>
      </c>
      <c r="D96" s="214">
        <f t="shared" ref="D96:D101" si="42">100*(B96/B95-1)</f>
        <v>0</v>
      </c>
      <c r="E96" s="214">
        <f t="shared" si="41"/>
        <v>-0.19923106585286732</v>
      </c>
      <c r="F96" s="215">
        <f t="shared" si="39"/>
        <v>3.7474321301769864</v>
      </c>
      <c r="G96" s="216">
        <f t="shared" si="34"/>
        <v>4.9185341251495762</v>
      </c>
      <c r="H96" s="209">
        <f>+B$211/B96</f>
        <v>1.4788736711203987</v>
      </c>
    </row>
    <row r="97" spans="1:8" ht="16.5" customHeight="1">
      <c r="A97" s="232" t="s">
        <v>202</v>
      </c>
      <c r="B97" s="231">
        <f>[143]PLANCUSr!$H$134</f>
        <v>3008.6633042167041</v>
      </c>
      <c r="C97" s="207">
        <f t="shared" si="0"/>
        <v>150.44219174233973</v>
      </c>
      <c r="D97" s="214">
        <f t="shared" si="42"/>
        <v>0.7139578228826382</v>
      </c>
      <c r="E97" s="214">
        <f t="shared" si="41"/>
        <v>0.51330433124949781</v>
      </c>
      <c r="F97" s="215">
        <f t="shared" si="39"/>
        <v>3.0314486946824371</v>
      </c>
      <c r="G97" s="216">
        <f t="shared" si="34"/>
        <v>5.8275207473779567</v>
      </c>
      <c r="H97" s="209">
        <f t="shared" ref="H97:H160" si="43">+B$211/B97</f>
        <v>1.4683899859453167</v>
      </c>
    </row>
    <row r="98" spans="1:8" ht="16.5" customHeight="1">
      <c r="A98" s="232" t="s">
        <v>203</v>
      </c>
      <c r="B98" s="231">
        <f>[144]PLANCUSr!$H$134</f>
        <v>3018.7329148839899</v>
      </c>
      <c r="C98" s="207">
        <f t="shared" si="0"/>
        <v>150.94570248634867</v>
      </c>
      <c r="D98" s="214">
        <f t="shared" si="42"/>
        <v>0.33468718992826219</v>
      </c>
      <c r="E98" s="214">
        <f t="shared" si="41"/>
        <v>0.84970948501981169</v>
      </c>
      <c r="F98" s="215">
        <f t="shared" si="39"/>
        <v>2.2419151649895053</v>
      </c>
      <c r="G98" s="216">
        <f t="shared" si="34"/>
        <v>6.0398254943901719</v>
      </c>
      <c r="H98" s="209">
        <f t="shared" si="43"/>
        <v>1.4634918661436918</v>
      </c>
    </row>
    <row r="99" spans="1:8" ht="16.5" customHeight="1">
      <c r="A99" s="232" t="s">
        <v>204</v>
      </c>
      <c r="B99" s="231">
        <f>[145]PLANCUSr!$H$136</f>
        <v>3012.5630504902056</v>
      </c>
      <c r="C99" s="207">
        <f t="shared" si="0"/>
        <v>150.63719075595563</v>
      </c>
      <c r="D99" s="214">
        <f t="shared" si="42"/>
        <v>-0.20438589857895151</v>
      </c>
      <c r="E99" s="214">
        <f t="shared" si="41"/>
        <v>0.64358690007457753</v>
      </c>
      <c r="F99" s="215">
        <f t="shared" si="39"/>
        <v>2.0329471079552075</v>
      </c>
      <c r="G99" s="216">
        <f t="shared" si="34"/>
        <v>5.3957137405503675</v>
      </c>
      <c r="H99" s="209">
        <f t="shared" si="43"/>
        <v>1.4664891631974559</v>
      </c>
    </row>
    <row r="100" spans="1:8" ht="16.5" customHeight="1">
      <c r="A100" s="232" t="s">
        <v>205</v>
      </c>
      <c r="B100" s="231">
        <f>[146]PLANCUSr!$H$136</f>
        <v>3012.5630504902056</v>
      </c>
      <c r="C100" s="207">
        <f t="shared" si="0"/>
        <v>150.63719075595563</v>
      </c>
      <c r="D100" s="214">
        <f t="shared" si="42"/>
        <v>0</v>
      </c>
      <c r="E100" s="214">
        <f t="shared" si="41"/>
        <v>0.64358690007457753</v>
      </c>
      <c r="F100" s="215">
        <f t="shared" si="39"/>
        <v>1.4692513813172603</v>
      </c>
      <c r="G100" s="216">
        <f t="shared" si="34"/>
        <v>5.6922900155255585</v>
      </c>
      <c r="H100" s="209">
        <f t="shared" si="43"/>
        <v>1.4664891631974559</v>
      </c>
    </row>
    <row r="101" spans="1:8" ht="16.5" customHeight="1">
      <c r="A101" s="232" t="s">
        <v>206</v>
      </c>
      <c r="B101" s="231">
        <f>[147]PLANCUSr!$H$136</f>
        <v>3002.9127497717232</v>
      </c>
      <c r="C101" s="207">
        <f t="shared" si="0"/>
        <v>150.15464676739219</v>
      </c>
      <c r="D101" s="214">
        <f t="shared" si="42"/>
        <v>-0.32033522806808046</v>
      </c>
      <c r="E101" s="214">
        <f t="shared" ref="E101:E106" si="44">100*(B101/B$94-1)</f>
        <v>0.32119003644233146</v>
      </c>
      <c r="F101" s="215">
        <f t="shared" ref="F101:F106" si="45">(100*(B101/B89-1))</f>
        <v>1.0666723770238917</v>
      </c>
      <c r="G101" s="216">
        <f t="shared" ref="G101:G106" si="46">100*(B101/B77-1)</f>
        <v>5.36834108263331</v>
      </c>
      <c r="H101" s="209">
        <f t="shared" si="43"/>
        <v>1.4712019412914337</v>
      </c>
    </row>
    <row r="102" spans="1:8" ht="16.5" customHeight="1">
      <c r="A102" s="232" t="s">
        <v>207</v>
      </c>
      <c r="B102" s="231">
        <f>[148]PLANCUSr!$H$136</f>
        <v>3015.4190802637577</v>
      </c>
      <c r="C102" s="207">
        <f t="shared" si="0"/>
        <v>150.78000081323665</v>
      </c>
      <c r="D102" s="214">
        <f t="shared" ref="D102:D107" si="47">100*(B102/B101-1)</f>
        <v>0.41647332220975386</v>
      </c>
      <c r="E102" s="214">
        <f t="shared" si="44"/>
        <v>0.7390010294674676</v>
      </c>
      <c r="F102" s="215">
        <f t="shared" si="45"/>
        <v>1.8056565149120241</v>
      </c>
      <c r="G102" s="216">
        <f t="shared" si="46"/>
        <v>5.5980138738383589</v>
      </c>
      <c r="H102" s="209">
        <f t="shared" si="43"/>
        <v>1.4651001898570348</v>
      </c>
    </row>
    <row r="103" spans="1:8" ht="16.5" customHeight="1">
      <c r="A103" s="232" t="s">
        <v>208</v>
      </c>
      <c r="B103" s="231">
        <f>[149]PLANCUSr!$H$136</f>
        <v>3015.4190802637577</v>
      </c>
      <c r="C103" s="207">
        <f t="shared" si="0"/>
        <v>150.78000081323665</v>
      </c>
      <c r="D103" s="214">
        <f t="shared" si="47"/>
        <v>0</v>
      </c>
      <c r="E103" s="214">
        <f t="shared" si="44"/>
        <v>0.7390010294674676</v>
      </c>
      <c r="F103" s="215">
        <f t="shared" si="45"/>
        <v>2.784169621914856</v>
      </c>
      <c r="G103" s="216">
        <f t="shared" si="46"/>
        <v>5.4625712345403921</v>
      </c>
      <c r="H103" s="209">
        <f t="shared" si="43"/>
        <v>1.4651001898570348</v>
      </c>
    </row>
    <row r="104" spans="1:8" ht="16.5" customHeight="1">
      <c r="A104" s="232" t="s">
        <v>209</v>
      </c>
      <c r="B104" s="231">
        <f>[150]PLANCUSr!$H$136</f>
        <v>3015.4190802637577</v>
      </c>
      <c r="C104" s="207">
        <f t="shared" si="0"/>
        <v>150.78000081323665</v>
      </c>
      <c r="D104" s="214">
        <f t="shared" si="47"/>
        <v>0</v>
      </c>
      <c r="E104" s="214">
        <f t="shared" si="44"/>
        <v>0.7390010294674676</v>
      </c>
      <c r="F104" s="215">
        <f t="shared" si="45"/>
        <v>0.95242230374161796</v>
      </c>
      <c r="G104" s="216">
        <f t="shared" si="46"/>
        <v>5.2032849692104088</v>
      </c>
      <c r="H104" s="209">
        <f t="shared" si="43"/>
        <v>1.4651001898570348</v>
      </c>
    </row>
    <row r="105" spans="1:8" ht="16.5" customHeight="1">
      <c r="A105" s="232" t="s">
        <v>210</v>
      </c>
      <c r="B105" s="231">
        <f>[151]PLANCUSr!$H$136</f>
        <v>2984.2153865963228</v>
      </c>
      <c r="C105" s="207">
        <f t="shared" si="0"/>
        <v>149.21972251316691</v>
      </c>
      <c r="D105" s="214">
        <f t="shared" si="47"/>
        <v>-1.0348045441400333</v>
      </c>
      <c r="E105" s="214">
        <f t="shared" si="44"/>
        <v>-0.30345073090672914</v>
      </c>
      <c r="F105" s="215">
        <f t="shared" si="45"/>
        <v>-9.2237949676932107E-2</v>
      </c>
      <c r="G105" s="216">
        <f t="shared" si="46"/>
        <v>3.9844675216967884</v>
      </c>
      <c r="H105" s="209">
        <f t="shared" si="43"/>
        <v>1.4804196395595384</v>
      </c>
    </row>
    <row r="106" spans="1:8" ht="16.5" customHeight="1">
      <c r="A106" s="232" t="s">
        <v>211</v>
      </c>
      <c r="B106" s="231">
        <f>[152]PLANCUSr!$H$136</f>
        <v>2984.2153865963228</v>
      </c>
      <c r="C106" s="207">
        <f t="shared" si="0"/>
        <v>149.21972251316691</v>
      </c>
      <c r="D106" s="214">
        <f t="shared" si="47"/>
        <v>0</v>
      </c>
      <c r="E106" s="214">
        <f t="shared" si="44"/>
        <v>-0.30345073090672914</v>
      </c>
      <c r="F106" s="215">
        <f t="shared" si="45"/>
        <v>-0.30345073090672914</v>
      </c>
      <c r="G106" s="216">
        <f t="shared" si="46"/>
        <v>3.7673677493442748</v>
      </c>
      <c r="H106" s="209">
        <f t="shared" si="43"/>
        <v>1.4804196395595384</v>
      </c>
    </row>
    <row r="107" spans="1:8" ht="16.5" customHeight="1">
      <c r="A107" s="232" t="s">
        <v>212</v>
      </c>
      <c r="B107" s="231">
        <f>[153]PLANCUSr!$H$150</f>
        <v>3007.5311459387817</v>
      </c>
      <c r="C107" s="207">
        <f t="shared" ref="C107:C112" si="48">100*B107/B$8</f>
        <v>150.38558043176496</v>
      </c>
      <c r="D107" s="214">
        <f t="shared" si="47"/>
        <v>0.78130283246919952</v>
      </c>
      <c r="E107" s="214">
        <f t="shared" ref="E107:E112" si="49">100*(B107/B$106-1)</f>
        <v>0.78130283246919952</v>
      </c>
      <c r="F107" s="215">
        <f t="shared" ref="F107:F112" si="50">(100*(B107/B95-1))</f>
        <v>0.67605921824591686</v>
      </c>
      <c r="G107" s="216">
        <f t="shared" ref="G107:G112" si="51">100*(B107/B83-1)</f>
        <v>4.3341796447783354</v>
      </c>
      <c r="H107" s="209">
        <f t="shared" si="43"/>
        <v>1.4689427482600317</v>
      </c>
    </row>
    <row r="108" spans="1:8" ht="16.5" customHeight="1">
      <c r="A108" s="232" t="s">
        <v>213</v>
      </c>
      <c r="B108" s="231">
        <f>[154]PLANCUSr!$H$150</f>
        <v>3009.2926555113318</v>
      </c>
      <c r="C108" s="207">
        <f t="shared" si="48"/>
        <v>150.47366119523829</v>
      </c>
      <c r="D108" s="214">
        <f t="shared" ref="D108:D113" si="52">100*(B108/B107-1)</f>
        <v>5.856995279762689E-2</v>
      </c>
      <c r="E108" s="214">
        <f t="shared" si="49"/>
        <v>0.84033039396700371</v>
      </c>
      <c r="F108" s="215">
        <f t="shared" si="50"/>
        <v>0.73502513860854712</v>
      </c>
      <c r="G108" s="216">
        <f t="shared" si="51"/>
        <v>4.5100018369946371</v>
      </c>
      <c r="H108" s="209">
        <f t="shared" si="43"/>
        <v>1.4680828928026872</v>
      </c>
    </row>
    <row r="109" spans="1:8" ht="16.5" customHeight="1">
      <c r="A109" s="232" t="s">
        <v>214</v>
      </c>
      <c r="B109" s="231">
        <f>[155]PLANCUSr!$H$150</f>
        <v>3041.3038294250132</v>
      </c>
      <c r="C109" s="207">
        <f t="shared" si="48"/>
        <v>152.07431593020647</v>
      </c>
      <c r="D109" s="214">
        <f t="shared" si="52"/>
        <v>1.0637441278785298</v>
      </c>
      <c r="E109" s="214">
        <f t="shared" si="49"/>
        <v>1.9130134870661397</v>
      </c>
      <c r="F109" s="215">
        <f t="shared" si="50"/>
        <v>1.0848846117996302</v>
      </c>
      <c r="G109" s="216">
        <f t="shared" si="51"/>
        <v>4.1492210268852636</v>
      </c>
      <c r="H109" s="209">
        <f t="shared" si="43"/>
        <v>1.4526306198839067</v>
      </c>
    </row>
    <row r="110" spans="1:8" ht="16.5" customHeight="1">
      <c r="A110" s="232" t="s">
        <v>215</v>
      </c>
      <c r="B110" s="231">
        <f>[156]PLANCUSr!$H$150</f>
        <v>3041.3038294250132</v>
      </c>
      <c r="C110" s="207">
        <f t="shared" si="48"/>
        <v>152.07431593020647</v>
      </c>
      <c r="D110" s="214">
        <f t="shared" si="52"/>
        <v>0</v>
      </c>
      <c r="E110" s="214">
        <f t="shared" si="49"/>
        <v>1.9130134870661397</v>
      </c>
      <c r="F110" s="215">
        <f t="shared" si="50"/>
        <v>0.74769498254503297</v>
      </c>
      <c r="G110" s="216">
        <f t="shared" si="51"/>
        <v>3.0063728347361041</v>
      </c>
      <c r="H110" s="209">
        <f t="shared" si="43"/>
        <v>1.4526306198839067</v>
      </c>
    </row>
    <row r="111" spans="1:8" ht="16.5" customHeight="1">
      <c r="A111" s="232" t="s">
        <v>216</v>
      </c>
      <c r="B111" s="231">
        <f>[157]PLANCUSr!$H$150</f>
        <v>3065.0340770934126</v>
      </c>
      <c r="C111" s="207">
        <f t="shared" si="48"/>
        <v>153.26089950864113</v>
      </c>
      <c r="D111" s="214">
        <f t="shared" si="52"/>
        <v>0.78026560315369586</v>
      </c>
      <c r="E111" s="214">
        <f t="shared" si="49"/>
        <v>2.7082056764430984</v>
      </c>
      <c r="F111" s="215">
        <f t="shared" si="50"/>
        <v>1.7417403627342898</v>
      </c>
      <c r="G111" s="216">
        <f t="shared" si="51"/>
        <v>3.8100961310217896</v>
      </c>
      <c r="H111" s="209">
        <f t="shared" si="43"/>
        <v>1.4413839963510178</v>
      </c>
    </row>
    <row r="112" spans="1:8" ht="16.5" customHeight="1">
      <c r="A112" s="232" t="s">
        <v>217</v>
      </c>
      <c r="B112" s="231">
        <f>[158]PLANCUSr!$H$150</f>
        <v>3063.0209232962129</v>
      </c>
      <c r="C112" s="207">
        <f t="shared" si="48"/>
        <v>153.1602357789574</v>
      </c>
      <c r="D112" s="214">
        <f t="shared" si="52"/>
        <v>-6.5681285968244296E-2</v>
      </c>
      <c r="E112" s="214">
        <f t="shared" si="49"/>
        <v>2.6407456061598999</v>
      </c>
      <c r="F112" s="215">
        <f t="shared" si="50"/>
        <v>1.6749150792975787</v>
      </c>
      <c r="G112" s="216">
        <f t="shared" si="51"/>
        <v>3.1687751735532954</v>
      </c>
      <c r="H112" s="209">
        <f t="shared" si="43"/>
        <v>1.442331338121819</v>
      </c>
    </row>
    <row r="113" spans="1:8" ht="16.5" customHeight="1">
      <c r="A113" s="232" t="s">
        <v>218</v>
      </c>
      <c r="B113" s="231">
        <f>[159]PLANCUSr!$H$150</f>
        <v>3055.1108407400798</v>
      </c>
      <c r="C113" s="207">
        <f t="shared" ref="C113:C118" si="53">100*B113/B$8</f>
        <v>152.76470791947915</v>
      </c>
      <c r="D113" s="214">
        <f t="shared" si="52"/>
        <v>-0.25824448328027882</v>
      </c>
      <c r="E113" s="214">
        <f t="shared" ref="E113:E118" si="54">100*(B113/B$106-1)</f>
        <v>2.3756815430342471</v>
      </c>
      <c r="F113" s="215">
        <f t="shared" ref="F113:F118" si="55">(100*(B113/B101-1))</f>
        <v>1.7382486711385425</v>
      </c>
      <c r="G113" s="216">
        <f t="shared" ref="G113:G118" si="56">100*(B113/B89-1)</f>
        <v>2.8234624665814279</v>
      </c>
      <c r="H113" s="209">
        <f t="shared" si="43"/>
        <v>1.4460657230762706</v>
      </c>
    </row>
    <row r="114" spans="1:8" ht="16.5" customHeight="1">
      <c r="A114" s="232" t="s">
        <v>219</v>
      </c>
      <c r="B114" s="231">
        <f>[160]PLANCUSr!$H$150</f>
        <v>3047.2007581839462</v>
      </c>
      <c r="C114" s="207">
        <f t="shared" si="53"/>
        <v>152.3691800600009</v>
      </c>
      <c r="D114" s="214">
        <f t="shared" ref="D114:D119" si="57">100*(B114/B113-1)</f>
        <v>-0.25891311210880508</v>
      </c>
      <c r="E114" s="214">
        <f t="shared" si="54"/>
        <v>2.110617479908572</v>
      </c>
      <c r="F114" s="215">
        <f t="shared" si="55"/>
        <v>1.0539721701770421</v>
      </c>
      <c r="G114" s="216">
        <f t="shared" si="56"/>
        <v>2.8786598022452203</v>
      </c>
      <c r="H114" s="209">
        <f t="shared" si="43"/>
        <v>1.4498194958529436</v>
      </c>
    </row>
    <row r="115" spans="1:8" ht="16.5" customHeight="1">
      <c r="A115" s="232" t="s">
        <v>220</v>
      </c>
      <c r="B115" s="231">
        <f>[161]PLANCUSr!$H$150</f>
        <v>3051.3695984110127</v>
      </c>
      <c r="C115" s="207">
        <f t="shared" si="53"/>
        <v>152.57763457862535</v>
      </c>
      <c r="D115" s="214">
        <f t="shared" si="57"/>
        <v>0.13680884713191954</v>
      </c>
      <c r="E115" s="214">
        <f t="shared" si="54"/>
        <v>2.250313838482132</v>
      </c>
      <c r="F115" s="215">
        <f t="shared" si="55"/>
        <v>1.1922229444840671</v>
      </c>
      <c r="G115" s="216">
        <f t="shared" si="56"/>
        <v>4.0095860754447488</v>
      </c>
      <c r="H115" s="209">
        <f t="shared" si="43"/>
        <v>1.447838724385782</v>
      </c>
    </row>
    <row r="116" spans="1:8" ht="16.5" customHeight="1">
      <c r="A116" s="232" t="s">
        <v>221</v>
      </c>
      <c r="B116" s="231">
        <f>[162]PLANCUSr!$H$150</f>
        <v>3043.4595158548796</v>
      </c>
      <c r="C116" s="207">
        <f t="shared" si="53"/>
        <v>152.1821067191471</v>
      </c>
      <c r="D116" s="214">
        <f t="shared" si="57"/>
        <v>-0.25923056191725635</v>
      </c>
      <c r="E116" s="214">
        <f t="shared" si="54"/>
        <v>1.9852497753564791</v>
      </c>
      <c r="F116" s="215">
        <f t="shared" si="55"/>
        <v>0.92990177632852333</v>
      </c>
      <c r="G116" s="216">
        <f t="shared" si="56"/>
        <v>1.8911806719907887</v>
      </c>
      <c r="H116" s="209">
        <f t="shared" si="43"/>
        <v>1.4516017196805102</v>
      </c>
    </row>
    <row r="117" spans="1:8" ht="16.5" customHeight="1">
      <c r="A117" s="232" t="s">
        <v>222</v>
      </c>
      <c r="B117" s="231">
        <f>[163]PLANCUSr!$H$150</f>
        <v>3059.2796809671463</v>
      </c>
      <c r="C117" s="207">
        <f t="shared" si="53"/>
        <v>152.9731624381036</v>
      </c>
      <c r="D117" s="214">
        <f t="shared" si="57"/>
        <v>0.51980862665830241</v>
      </c>
      <c r="E117" s="214">
        <f t="shared" si="54"/>
        <v>2.5153779016077848</v>
      </c>
      <c r="F117" s="215">
        <f t="shared" si="55"/>
        <v>2.5153779016077848</v>
      </c>
      <c r="G117" s="216">
        <f t="shared" si="56"/>
        <v>2.4208198189277885</v>
      </c>
      <c r="H117" s="209">
        <f t="shared" si="43"/>
        <v>1.4440951883144941</v>
      </c>
    </row>
    <row r="118" spans="1:8" ht="16.5" customHeight="1">
      <c r="A118" s="232" t="s">
        <v>223</v>
      </c>
      <c r="B118" s="231">
        <f>[164]PLANCUSr!$H$150</f>
        <v>3059.2796809671463</v>
      </c>
      <c r="C118" s="207">
        <f t="shared" si="53"/>
        <v>152.9731624381036</v>
      </c>
      <c r="D118" s="214">
        <f t="shared" si="57"/>
        <v>0</v>
      </c>
      <c r="E118" s="214">
        <f t="shared" si="54"/>
        <v>2.5153779016077848</v>
      </c>
      <c r="F118" s="215">
        <f t="shared" si="55"/>
        <v>2.5153779016077848</v>
      </c>
      <c r="G118" s="216">
        <f t="shared" si="56"/>
        <v>2.2042942380735564</v>
      </c>
      <c r="H118" s="209">
        <f t="shared" si="43"/>
        <v>1.4440951883144941</v>
      </c>
    </row>
    <row r="119" spans="1:8" ht="16.5" customHeight="1">
      <c r="A119" s="232" t="s">
        <v>224</v>
      </c>
      <c r="B119" s="231">
        <f>[165]PLANCUSr!$H$150</f>
        <v>3064.0257305008263</v>
      </c>
      <c r="C119" s="207">
        <f t="shared" ref="C119:C124" si="58">100*B119/B$8</f>
        <v>153.21047915379052</v>
      </c>
      <c r="D119" s="214">
        <f t="shared" si="57"/>
        <v>0.15513617676758962</v>
      </c>
      <c r="E119" s="214">
        <f t="shared" ref="E119:E124" si="59">100*(B119/B$118-1)</f>
        <v>0.15513617676758962</v>
      </c>
      <c r="F119" s="215">
        <f t="shared" ref="F119:F124" si="60">(100*(B119/B107-1))</f>
        <v>1.8784372237784508</v>
      </c>
      <c r="G119" s="216">
        <f t="shared" ref="G119:G124" si="61">100*(B119/B95-1)</f>
        <v>2.567195790034682</v>
      </c>
      <c r="H119" s="209">
        <f t="shared" si="43"/>
        <v>1.4418583444045805</v>
      </c>
    </row>
    <row r="120" spans="1:8" ht="16.5" customHeight="1">
      <c r="A120" s="232" t="s">
        <v>225</v>
      </c>
      <c r="B120" s="231">
        <f>[166]PLANCUSr!$H$150</f>
        <v>3075.0998460794131</v>
      </c>
      <c r="C120" s="207">
        <f t="shared" si="58"/>
        <v>153.76421815706007</v>
      </c>
      <c r="D120" s="214">
        <f t="shared" ref="D120:D125" si="62">100*(B120/B119-1)</f>
        <v>0.36142371352660962</v>
      </c>
      <c r="E120" s="214">
        <f t="shared" si="59"/>
        <v>0.51712058922528392</v>
      </c>
      <c r="F120" s="215">
        <f t="shared" si="60"/>
        <v>2.1867992947631532</v>
      </c>
      <c r="G120" s="216">
        <f t="shared" si="61"/>
        <v>2.9378979579191222</v>
      </c>
      <c r="H120" s="209">
        <f t="shared" si="43"/>
        <v>1.4366658931824701</v>
      </c>
    </row>
    <row r="121" spans="1:8" ht="16.5" customHeight="1">
      <c r="A121" s="232" t="s">
        <v>226</v>
      </c>
      <c r="B121" s="231">
        <f>[167]PLANCUSr!$H$150</f>
        <v>3075.0998460794131</v>
      </c>
      <c r="C121" s="207">
        <f t="shared" si="58"/>
        <v>153.76421815706007</v>
      </c>
      <c r="D121" s="214">
        <f t="shared" si="62"/>
        <v>0</v>
      </c>
      <c r="E121" s="214">
        <f t="shared" si="59"/>
        <v>0.51712058922528392</v>
      </c>
      <c r="F121" s="215">
        <f t="shared" si="60"/>
        <v>1.1112344754055536</v>
      </c>
      <c r="G121" s="216">
        <f t="shared" si="61"/>
        <v>2.2081746990298523</v>
      </c>
      <c r="H121" s="209">
        <f t="shared" si="43"/>
        <v>1.4366658931824701</v>
      </c>
    </row>
    <row r="122" spans="1:8" ht="16.5" customHeight="1">
      <c r="A122" s="232" t="s">
        <v>227</v>
      </c>
      <c r="B122" s="231">
        <f>[168]PLANCUSr!$H$150</f>
        <v>3075.0998460794131</v>
      </c>
      <c r="C122" s="207">
        <f t="shared" si="58"/>
        <v>153.76421815706007</v>
      </c>
      <c r="D122" s="214">
        <f t="shared" si="62"/>
        <v>0</v>
      </c>
      <c r="E122" s="214">
        <f t="shared" si="59"/>
        <v>0.51712058922528392</v>
      </c>
      <c r="F122" s="215">
        <f t="shared" si="60"/>
        <v>1.1112344754055536</v>
      </c>
      <c r="G122" s="216">
        <f t="shared" si="61"/>
        <v>1.8672381023675078</v>
      </c>
      <c r="H122" s="209">
        <f t="shared" si="43"/>
        <v>1.4366658931824701</v>
      </c>
    </row>
    <row r="123" spans="1:8" ht="16.5" customHeight="1">
      <c r="A123" s="232" t="s">
        <v>228</v>
      </c>
      <c r="B123" s="231">
        <f>[169]PLANCUSr!$H$150</f>
        <v>3075.0998460794131</v>
      </c>
      <c r="C123" s="207">
        <f t="shared" si="58"/>
        <v>153.76421815706007</v>
      </c>
      <c r="D123" s="214">
        <f t="shared" si="62"/>
        <v>0</v>
      </c>
      <c r="E123" s="214">
        <f t="shared" si="59"/>
        <v>0.51712058922528392</v>
      </c>
      <c r="F123" s="215">
        <f t="shared" si="60"/>
        <v>0.32840642984126589</v>
      </c>
      <c r="G123" s="216">
        <f t="shared" si="61"/>
        <v>2.0758667799178898</v>
      </c>
      <c r="H123" s="209">
        <f t="shared" si="43"/>
        <v>1.4366658931824701</v>
      </c>
    </row>
    <row r="124" spans="1:8" ht="16.5" customHeight="1">
      <c r="A124" s="232" t="s">
        <v>229</v>
      </c>
      <c r="B124" s="231">
        <f>[170]PLANCUSr!$H$150</f>
        <v>3075.0998460794131</v>
      </c>
      <c r="C124" s="207">
        <f t="shared" si="58"/>
        <v>153.76421815706007</v>
      </c>
      <c r="D124" s="214">
        <f t="shared" si="62"/>
        <v>0</v>
      </c>
      <c r="E124" s="214">
        <f t="shared" si="59"/>
        <v>0.51712058922528392</v>
      </c>
      <c r="F124" s="215">
        <f t="shared" si="60"/>
        <v>0.39434672781148983</v>
      </c>
      <c r="G124" s="216">
        <f t="shared" si="61"/>
        <v>2.0758667799178898</v>
      </c>
      <c r="H124" s="209">
        <f t="shared" si="43"/>
        <v>1.4366658931824701</v>
      </c>
    </row>
    <row r="125" spans="1:8" ht="16.5" customHeight="1">
      <c r="A125" s="232" t="s">
        <v>230</v>
      </c>
      <c r="B125" s="231">
        <f>[171]PLANCUSr!$H$150</f>
        <v>3081.4279121243194</v>
      </c>
      <c r="C125" s="207">
        <f t="shared" ref="C125:C131" si="63">100*B125/B$8</f>
        <v>154.08064044464263</v>
      </c>
      <c r="D125" s="214">
        <f t="shared" si="62"/>
        <v>0.2057840838233016</v>
      </c>
      <c r="E125" s="214">
        <f t="shared" ref="E125:E130" si="64">100*(B125/B$118-1)</f>
        <v>0.72396882491538861</v>
      </c>
      <c r="F125" s="215">
        <f t="shared" ref="F125:F130" si="65">(100*(B125/B113-1))</f>
        <v>0.8614113449927796</v>
      </c>
      <c r="G125" s="216">
        <f t="shared" ref="G125:G130" si="66">100*(B125/B101-1)</f>
        <v>2.6146334873887067</v>
      </c>
      <c r="H125" s="209">
        <f t="shared" si="43"/>
        <v>1.4337155348045403</v>
      </c>
    </row>
    <row r="126" spans="1:8" ht="16.5" customHeight="1">
      <c r="A126" s="232" t="s">
        <v>231</v>
      </c>
      <c r="B126" s="233">
        <f>[172]PLANCUSr!$H$150</f>
        <v>3099.6211020034261</v>
      </c>
      <c r="C126" s="207">
        <f t="shared" si="63"/>
        <v>154.99035452144258</v>
      </c>
      <c r="D126" s="214">
        <f t="shared" ref="D126:D131" si="67">100*(B126/B125-1)</f>
        <v>0.59041426241137618</v>
      </c>
      <c r="E126" s="214">
        <f t="shared" si="64"/>
        <v>1.3186575025244673</v>
      </c>
      <c r="F126" s="215">
        <f t="shared" si="65"/>
        <v>1.7202786419205696</v>
      </c>
      <c r="G126" s="216">
        <f t="shared" si="66"/>
        <v>2.7923820702329571</v>
      </c>
      <c r="H126" s="209">
        <f t="shared" si="43"/>
        <v>1.425300358207483</v>
      </c>
    </row>
    <row r="127" spans="1:8" ht="16.5" customHeight="1">
      <c r="A127" s="232" t="s">
        <v>232</v>
      </c>
      <c r="B127" s="233">
        <f>[173]PLANCUSr!$H$150</f>
        <v>3104.3671515371061</v>
      </c>
      <c r="C127" s="207">
        <f t="shared" si="63"/>
        <v>155.22767123712953</v>
      </c>
      <c r="D127" s="214">
        <f t="shared" si="67"/>
        <v>0.15311708681464697</v>
      </c>
      <c r="E127" s="214">
        <f t="shared" si="64"/>
        <v>1.473793679292057</v>
      </c>
      <c r="F127" s="215">
        <f t="shared" si="65"/>
        <v>1.7368447648456575</v>
      </c>
      <c r="G127" s="216">
        <f t="shared" si="66"/>
        <v>2.9497747711262789</v>
      </c>
      <c r="H127" s="209">
        <f t="shared" si="43"/>
        <v>1.4231213163061167</v>
      </c>
    </row>
    <row r="128" spans="1:8" ht="16.5" customHeight="1">
      <c r="A128" s="232" t="s">
        <v>233</v>
      </c>
      <c r="B128" s="233">
        <f>[174]PLANCUSr!$H$150</f>
        <v>3107.5311845595602</v>
      </c>
      <c r="C128" s="207">
        <f t="shared" si="63"/>
        <v>155.38588238092083</v>
      </c>
      <c r="D128" s="214">
        <f t="shared" si="67"/>
        <v>0.10192199788248146</v>
      </c>
      <c r="E128" s="214">
        <f t="shared" si="64"/>
        <v>1.5772177971371315</v>
      </c>
      <c r="F128" s="215">
        <f t="shared" si="65"/>
        <v>2.1052249379661436</v>
      </c>
      <c r="G128" s="216">
        <f t="shared" si="66"/>
        <v>3.0547032383885231</v>
      </c>
      <c r="H128" s="209">
        <f t="shared" si="43"/>
        <v>1.4216723194747658</v>
      </c>
    </row>
    <row r="129" spans="1:8" ht="16.5" customHeight="1">
      <c r="A129" s="232" t="s">
        <v>234</v>
      </c>
      <c r="B129" s="233">
        <f>[175]PLANCUSr!$H$150</f>
        <v>3107.5311845595602</v>
      </c>
      <c r="C129" s="207">
        <f t="shared" si="63"/>
        <v>155.38588238092083</v>
      </c>
      <c r="D129" s="214">
        <f t="shared" si="67"/>
        <v>0</v>
      </c>
      <c r="E129" s="214">
        <f t="shared" si="64"/>
        <v>1.5772177971371315</v>
      </c>
      <c r="F129" s="215">
        <f t="shared" si="65"/>
        <v>1.5772177971371315</v>
      </c>
      <c r="G129" s="216">
        <f t="shared" si="66"/>
        <v>4.1322686866743341</v>
      </c>
      <c r="H129" s="209">
        <f t="shared" si="43"/>
        <v>1.4216723194747658</v>
      </c>
    </row>
    <row r="130" spans="1:8" ht="16.5" customHeight="1">
      <c r="A130" s="232" t="s">
        <v>235</v>
      </c>
      <c r="B130" s="233">
        <f>[176]PLANCUSr!$H$150</f>
        <v>3107.5311845595602</v>
      </c>
      <c r="C130" s="207">
        <f t="shared" si="63"/>
        <v>155.38588238092083</v>
      </c>
      <c r="D130" s="214">
        <f t="shared" si="67"/>
        <v>0</v>
      </c>
      <c r="E130" s="214">
        <f t="shared" si="64"/>
        <v>1.5772177971371315</v>
      </c>
      <c r="F130" s="215">
        <f t="shared" si="65"/>
        <v>1.5772177971371315</v>
      </c>
      <c r="G130" s="216">
        <f t="shared" si="66"/>
        <v>4.1322686866743341</v>
      </c>
      <c r="H130" s="209">
        <f t="shared" si="43"/>
        <v>1.4216723194747658</v>
      </c>
    </row>
    <row r="131" spans="1:8" ht="16.5" customHeight="1">
      <c r="A131" s="232" t="s">
        <v>236</v>
      </c>
      <c r="B131" s="233">
        <f>[177]PLANCUSr!$H$150</f>
        <v>3272.8993704780833</v>
      </c>
      <c r="C131" s="207">
        <f t="shared" si="63"/>
        <v>163.65478781117281</v>
      </c>
      <c r="D131" s="214">
        <f t="shared" si="67"/>
        <v>5.3215294102337829</v>
      </c>
      <c r="E131" s="214">
        <f t="shared" ref="E131:E136" si="68">100*(B131/B$130-1)</f>
        <v>5.3215294102337829</v>
      </c>
      <c r="F131" s="215">
        <f t="shared" ref="F131:F136" si="69">(100*(B131/B119-1))</f>
        <v>6.816967556702469</v>
      </c>
      <c r="G131" s="216">
        <f t="shared" ref="G131:G136" si="70">100*(B131/B107-1)</f>
        <v>8.8234572365989195</v>
      </c>
      <c r="H131" s="209">
        <f t="shared" si="43"/>
        <v>1.3498401774410866</v>
      </c>
    </row>
    <row r="132" spans="1:8" ht="16.5" customHeight="1">
      <c r="A132" s="232" t="s">
        <v>237</v>
      </c>
      <c r="B132" s="233">
        <f>[178]PLANCUSr!$H$150</f>
        <v>3265.5588138659919</v>
      </c>
      <c r="C132" s="207">
        <f t="shared" ref="C132:C137" si="71">100*B132/B$8</f>
        <v>163.28773795757706</v>
      </c>
      <c r="D132" s="214">
        <f t="shared" ref="D132:D137" si="72">100*(B132/B131-1)</f>
        <v>-0.22428299135329732</v>
      </c>
      <c r="E132" s="214">
        <f t="shared" si="68"/>
        <v>5.0853111335334544</v>
      </c>
      <c r="F132" s="215">
        <f t="shared" si="69"/>
        <v>6.1935864628722026</v>
      </c>
      <c r="G132" s="216">
        <f t="shared" si="70"/>
        <v>8.5158270627260002</v>
      </c>
      <c r="H132" s="209">
        <f t="shared" si="43"/>
        <v>1.3528744447149474</v>
      </c>
    </row>
    <row r="133" spans="1:8" ht="16.5" customHeight="1">
      <c r="A133" s="232" t="s">
        <v>238</v>
      </c>
      <c r="B133" s="233">
        <f>[179]PLANCUSr!$H$150</f>
        <v>3283.6956727468837</v>
      </c>
      <c r="C133" s="207">
        <f t="shared" si="71"/>
        <v>164.1946353154631</v>
      </c>
      <c r="D133" s="214">
        <f t="shared" si="72"/>
        <v>0.55539832275812717</v>
      </c>
      <c r="E133" s="214">
        <f t="shared" si="68"/>
        <v>5.6689531890342648</v>
      </c>
      <c r="F133" s="215">
        <f t="shared" si="69"/>
        <v>6.7833838609637098</v>
      </c>
      <c r="G133" s="216">
        <f t="shared" si="70"/>
        <v>7.9699976364313807</v>
      </c>
      <c r="H133" s="209">
        <f t="shared" si="43"/>
        <v>1.3454021039950068</v>
      </c>
    </row>
    <row r="134" spans="1:8" ht="16.5" customHeight="1">
      <c r="A134" s="232" t="s">
        <v>239</v>
      </c>
      <c r="B134" s="233">
        <f>[180]PLANCUSr!$H$150</f>
        <v>3282.5645309413567</v>
      </c>
      <c r="C134" s="207">
        <f t="shared" si="71"/>
        <v>164.13807483155773</v>
      </c>
      <c r="D134" s="214">
        <f t="shared" si="72"/>
        <v>-3.4447217959776566E-2</v>
      </c>
      <c r="E134" s="214">
        <f t="shared" si="68"/>
        <v>5.6325531744134238</v>
      </c>
      <c r="F134" s="215">
        <f t="shared" si="69"/>
        <v>6.7465999559802814</v>
      </c>
      <c r="G134" s="216">
        <f t="shared" si="70"/>
        <v>7.9328049760143848</v>
      </c>
      <c r="H134" s="209">
        <f t="shared" si="43"/>
        <v>1.3458657172920883</v>
      </c>
    </row>
    <row r="135" spans="1:8" ht="16.5" customHeight="1">
      <c r="A135" s="232" t="s">
        <v>240</v>
      </c>
      <c r="B135" s="233">
        <f>[181]PLANCUSr!$H$150</f>
        <v>3284.5776847385569</v>
      </c>
      <c r="C135" s="207">
        <f t="shared" si="71"/>
        <v>164.23873856124152</v>
      </c>
      <c r="D135" s="214">
        <f t="shared" si="72"/>
        <v>6.1328689146078474E-2</v>
      </c>
      <c r="E135" s="214">
        <f t="shared" si="68"/>
        <v>5.6973362345868139</v>
      </c>
      <c r="F135" s="215">
        <f t="shared" si="69"/>
        <v>6.812066246441284</v>
      </c>
      <c r="G135" s="216">
        <f t="shared" si="70"/>
        <v>7.1628439398409016</v>
      </c>
      <c r="H135" s="209">
        <f t="shared" si="43"/>
        <v>1.3450408213878515</v>
      </c>
    </row>
    <row r="136" spans="1:8" ht="16.5" customHeight="1">
      <c r="A136" s="232" t="s">
        <v>241</v>
      </c>
      <c r="B136" s="233">
        <f>[182]PLANCUSr!$H$150</f>
        <v>3286.8160611325434</v>
      </c>
      <c r="C136" s="207">
        <f t="shared" si="71"/>
        <v>164.35066409647294</v>
      </c>
      <c r="D136" s="214">
        <f t="shared" si="72"/>
        <v>6.8148072867546539E-2</v>
      </c>
      <c r="E136" s="214">
        <f t="shared" si="68"/>
        <v>5.7693669323030106</v>
      </c>
      <c r="F136" s="215">
        <f t="shared" si="69"/>
        <v>6.8848566111782361</v>
      </c>
      <c r="G136" s="216">
        <f t="shared" si="70"/>
        <v>7.3063535457504214</v>
      </c>
      <c r="H136" s="209">
        <f t="shared" si="43"/>
        <v>1.3441248262218473</v>
      </c>
    </row>
    <row r="137" spans="1:8" ht="16.5" customHeight="1">
      <c r="A137" s="232" t="s">
        <v>242</v>
      </c>
      <c r="B137" s="233">
        <f>[183]PLANCUSr!$H$150</f>
        <v>3282.701124082696</v>
      </c>
      <c r="C137" s="207">
        <f t="shared" si="71"/>
        <v>164.14490489842871</v>
      </c>
      <c r="D137" s="214">
        <f t="shared" si="72"/>
        <v>-0.12519523372505059</v>
      </c>
      <c r="E137" s="214">
        <f t="shared" ref="E137:E142" si="73">100*(B137/B$130-1)</f>
        <v>5.636948726162605</v>
      </c>
      <c r="F137" s="215">
        <f t="shared" ref="F137:F142" si="74">(100*(B137/B125-1))</f>
        <v>6.5318163428856657</v>
      </c>
      <c r="G137" s="216">
        <f t="shared" ref="G137:G142" si="75">100*(B137/B113-1)</f>
        <v>7.449493494890147</v>
      </c>
      <c r="H137" s="209">
        <f t="shared" si="43"/>
        <v>1.3458097158410889</v>
      </c>
    </row>
    <row r="138" spans="1:8" ht="16.5" customHeight="1">
      <c r="A138" s="232" t="s">
        <v>243</v>
      </c>
      <c r="B138" s="233">
        <f>[184]PLANCUSr!$H$150</f>
        <v>3279.6873826288083</v>
      </c>
      <c r="C138" s="207">
        <f t="shared" ref="C138:C143" si="76">100*B138/B$8</f>
        <v>163.99420878396745</v>
      </c>
      <c r="D138" s="214">
        <f t="shared" ref="D138:D143" si="77">100*(B138/B137-1)</f>
        <v>-9.180675730050547E-2</v>
      </c>
      <c r="E138" s="214">
        <f t="shared" si="73"/>
        <v>5.5399668690259141</v>
      </c>
      <c r="F138" s="215">
        <f t="shared" si="74"/>
        <v>5.8092997401842927</v>
      </c>
      <c r="G138" s="216">
        <f t="shared" si="75"/>
        <v>7.6295145247803786</v>
      </c>
      <c r="H138" s="209">
        <f t="shared" si="43"/>
        <v>1.3470463954560905</v>
      </c>
    </row>
    <row r="139" spans="1:8" ht="16.5" customHeight="1">
      <c r="A139" s="232" t="s">
        <v>244</v>
      </c>
      <c r="B139" s="233">
        <f>[185]PLANCUSr!$H$150</f>
        <v>3260.2285795407211</v>
      </c>
      <c r="C139" s="207">
        <f t="shared" si="76"/>
        <v>163.02121024965103</v>
      </c>
      <c r="D139" s="214">
        <f t="shared" si="77"/>
        <v>-0.59331274045059113</v>
      </c>
      <c r="E139" s="214">
        <f t="shared" si="73"/>
        <v>4.9137847993246497</v>
      </c>
      <c r="F139" s="215">
        <f t="shared" si="74"/>
        <v>5.0207150248462451</v>
      </c>
      <c r="G139" s="216">
        <f t="shared" si="75"/>
        <v>6.8447618157587486</v>
      </c>
      <c r="H139" s="209">
        <f t="shared" si="43"/>
        <v>1.3550862950889533</v>
      </c>
    </row>
    <row r="140" spans="1:8" ht="16.5" customHeight="1">
      <c r="A140" s="232" t="s">
        <v>245</v>
      </c>
      <c r="B140" s="233">
        <f>[186]PLANCUSr!$H$157</f>
        <v>3277.6742288316091</v>
      </c>
      <c r="C140" s="207">
        <f t="shared" si="76"/>
        <v>163.89354505428369</v>
      </c>
      <c r="D140" s="214">
        <f t="shared" si="77"/>
        <v>0.53510509662930694</v>
      </c>
      <c r="E140" s="214">
        <f t="shared" si="73"/>
        <v>5.4751838088525462</v>
      </c>
      <c r="F140" s="215">
        <f t="shared" si="74"/>
        <v>5.4751838088525462</v>
      </c>
      <c r="G140" s="216">
        <f t="shared" si="75"/>
        <v>7.6956736817621385</v>
      </c>
      <c r="H140" s="209">
        <f t="shared" si="43"/>
        <v>1.3478737539355155</v>
      </c>
    </row>
    <row r="141" spans="1:8" ht="16.5" customHeight="1">
      <c r="A141" s="232" t="s">
        <v>246</v>
      </c>
      <c r="B141" s="233">
        <f>[187]PLANCUSr!$H$157</f>
        <v>3280.3082863228015</v>
      </c>
      <c r="C141" s="207">
        <f t="shared" si="76"/>
        <v>164.02525583148997</v>
      </c>
      <c r="D141" s="214">
        <f t="shared" si="77"/>
        <v>8.0363614785827764E-2</v>
      </c>
      <c r="E141" s="214">
        <f t="shared" si="73"/>
        <v>5.5599474792633385</v>
      </c>
      <c r="F141" s="215">
        <f t="shared" si="74"/>
        <v>5.5599474792633385</v>
      </c>
      <c r="G141" s="216">
        <f t="shared" si="75"/>
        <v>7.2248577575548811</v>
      </c>
      <c r="H141" s="209">
        <f t="shared" si="43"/>
        <v>1.3467914236638336</v>
      </c>
    </row>
    <row r="142" spans="1:8" ht="16.5" customHeight="1">
      <c r="A142" s="232" t="s">
        <v>247</v>
      </c>
      <c r="B142" s="233">
        <f>[188]PLANCUSr!$H$157</f>
        <v>3261.8540637193423</v>
      </c>
      <c r="C142" s="207">
        <f t="shared" si="76"/>
        <v>163.10248933532722</v>
      </c>
      <c r="D142" s="214">
        <f t="shared" si="77"/>
        <v>-0.56257586155556982</v>
      </c>
      <c r="E142" s="214">
        <f t="shared" si="73"/>
        <v>4.9660926952742601</v>
      </c>
      <c r="F142" s="215">
        <f t="shared" si="74"/>
        <v>4.9660926952742601</v>
      </c>
      <c r="G142" s="216">
        <f t="shared" si="75"/>
        <v>6.6216365902235896</v>
      </c>
      <c r="H142" s="209">
        <f t="shared" si="43"/>
        <v>1.3544110130897267</v>
      </c>
    </row>
    <row r="143" spans="1:8" ht="16.5" customHeight="1">
      <c r="A143" s="232" t="s">
        <v>248</v>
      </c>
      <c r="B143" s="233">
        <f>[189]PLANCUSr!$H$157</f>
        <v>3264.2627216443493</v>
      </c>
      <c r="C143" s="207">
        <f t="shared" si="76"/>
        <v>163.22292945798495</v>
      </c>
      <c r="D143" s="214">
        <f t="shared" si="77"/>
        <v>7.3843215482805036E-2</v>
      </c>
      <c r="E143" s="214">
        <f t="shared" ref="E143:E148" si="78">100*(B143/B$142-1)</f>
        <v>7.3843215482805036E-2</v>
      </c>
      <c r="F143" s="215">
        <f t="shared" ref="F143:F148" si="79">(100*(B143/B131-1))</f>
        <v>-0.26388372681536154</v>
      </c>
      <c r="G143" s="216">
        <f t="shared" ref="G143:G148" si="80">100*(B143/B119-1)</f>
        <v>6.5350949618426801</v>
      </c>
      <c r="H143" s="209">
        <f t="shared" si="43"/>
        <v>1.3534116104378617</v>
      </c>
    </row>
    <row r="144" spans="1:8" ht="16.5" customHeight="1">
      <c r="A144" s="234" t="s">
        <v>249</v>
      </c>
      <c r="B144" s="233">
        <f>[190]PLANCUSr!$H$157</f>
        <v>3310.1412004699223</v>
      </c>
      <c r="C144" s="207">
        <f t="shared" ref="C144:C150" si="81">100*B144/B$8</f>
        <v>165.51699104295867</v>
      </c>
      <c r="D144" s="214">
        <f t="shared" ref="D144:D149" si="82">100*(B144/B143-1)</f>
        <v>1.4054775224238591</v>
      </c>
      <c r="E144" s="214">
        <f t="shared" si="78"/>
        <v>1.4803585877021241</v>
      </c>
      <c r="F144" s="215">
        <f t="shared" si="79"/>
        <v>1.3652299390422229</v>
      </c>
      <c r="G144" s="216">
        <f t="shared" si="80"/>
        <v>7.6433730986060322</v>
      </c>
      <c r="H144" s="209">
        <f t="shared" si="43"/>
        <v>1.3346533574959802</v>
      </c>
    </row>
    <row r="145" spans="1:8" ht="16.5" customHeight="1">
      <c r="A145" s="234" t="s">
        <v>250</v>
      </c>
      <c r="B145" s="233">
        <f>[191]PLANCUSr!$H$157</f>
        <v>3328.8169053849524</v>
      </c>
      <c r="C145" s="207">
        <f t="shared" si="81"/>
        <v>166.45083231918676</v>
      </c>
      <c r="D145" s="214">
        <f t="shared" si="82"/>
        <v>0.56419662437297013</v>
      </c>
      <c r="E145" s="214">
        <f t="shared" si="78"/>
        <v>2.0529073452555169</v>
      </c>
      <c r="F145" s="215">
        <f t="shared" si="79"/>
        <v>1.3740990985417367</v>
      </c>
      <c r="G145" s="216">
        <f t="shared" si="80"/>
        <v>8.2506933759895595</v>
      </c>
      <c r="H145" s="209">
        <f t="shared" si="43"/>
        <v>1.3271655343513287</v>
      </c>
    </row>
    <row r="146" spans="1:8" ht="16.5" customHeight="1">
      <c r="A146" s="234" t="s">
        <v>252</v>
      </c>
      <c r="B146" s="233">
        <f>[192]PLANCUSr!$H$157</f>
        <v>3299.8580931469482</v>
      </c>
      <c r="C146" s="207">
        <f t="shared" si="81"/>
        <v>165.00280482563696</v>
      </c>
      <c r="D146" s="214">
        <f t="shared" si="82"/>
        <v>-0.86994307770902335</v>
      </c>
      <c r="E146" s="214">
        <f t="shared" si="78"/>
        <v>1.1651051422046699</v>
      </c>
      <c r="F146" s="215">
        <f t="shared" si="79"/>
        <v>0.52683083737068426</v>
      </c>
      <c r="G146" s="216">
        <f t="shared" si="80"/>
        <v>7.3089739623931171</v>
      </c>
      <c r="H146" s="209">
        <f t="shared" si="43"/>
        <v>1.338812440500974</v>
      </c>
    </row>
    <row r="147" spans="1:8" ht="16.5" customHeight="1">
      <c r="A147" s="234" t="s">
        <v>253</v>
      </c>
      <c r="B147" s="233">
        <f>[193]PLANCUSr!$H$157</f>
        <v>3313.9934106747592</v>
      </c>
      <c r="C147" s="207">
        <f t="shared" si="81"/>
        <v>165.70961311052457</v>
      </c>
      <c r="D147" s="214">
        <f t="shared" si="82"/>
        <v>0.42836137581694356</v>
      </c>
      <c r="E147" s="214">
        <f t="shared" si="78"/>
        <v>1.598457378438467</v>
      </c>
      <c r="F147" s="215">
        <f t="shared" si="79"/>
        <v>0.89557102189665727</v>
      </c>
      <c r="G147" s="216">
        <f t="shared" si="80"/>
        <v>7.7686441596334754</v>
      </c>
      <c r="H147" s="209">
        <f t="shared" si="43"/>
        <v>1.3331019466612137</v>
      </c>
    </row>
    <row r="148" spans="1:8" ht="16.5" customHeight="1">
      <c r="A148" s="234" t="s">
        <v>254</v>
      </c>
      <c r="B148" s="233">
        <f>[194]PLANCUSr!$H$157</f>
        <v>3284.3147809241468</v>
      </c>
      <c r="C148" s="207">
        <f t="shared" si="81"/>
        <v>164.22559258176224</v>
      </c>
      <c r="D148" s="214">
        <f t="shared" si="82"/>
        <v>-0.89555488115981019</v>
      </c>
      <c r="E148" s="214">
        <f t="shared" si="78"/>
        <v>0.688587434202792</v>
      </c>
      <c r="F148" s="215">
        <f t="shared" si="79"/>
        <v>-7.6100401174705734E-2</v>
      </c>
      <c r="G148" s="216">
        <f t="shared" si="80"/>
        <v>6.8035168065021301</v>
      </c>
      <c r="H148" s="209">
        <f t="shared" si="43"/>
        <v>1.3451484896188428</v>
      </c>
    </row>
    <row r="149" spans="1:8" ht="16.5" customHeight="1">
      <c r="A149" s="234" t="s">
        <v>255</v>
      </c>
      <c r="B149" s="233">
        <f>[195]PLANCUSr!$H$157</f>
        <v>3284.037928034682</v>
      </c>
      <c r="C149" s="207">
        <f t="shared" si="81"/>
        <v>164.21174910668049</v>
      </c>
      <c r="D149" s="214">
        <f t="shared" si="82"/>
        <v>-8.4295479554130637E-3</v>
      </c>
      <c r="E149" s="214">
        <f t="shared" ref="E149:E154" si="83">100*(B149/B$142-1)</f>
        <v>0.68009984143939661</v>
      </c>
      <c r="F149" s="215">
        <f t="shared" ref="F149:F154" si="84">(100*(B149/B137-1))</f>
        <v>4.0722682372118513E-2</v>
      </c>
      <c r="G149" s="216">
        <f t="shared" ref="G149:G154" si="85">100*(B149/B125-1)</f>
        <v>6.5751989560802082</v>
      </c>
      <c r="H149" s="209">
        <f t="shared" si="43"/>
        <v>1.3452618891149117</v>
      </c>
    </row>
    <row r="150" spans="1:8" ht="16.5" customHeight="1">
      <c r="A150" s="234" t="str">
        <f>Lavagem!A150</f>
        <v>AGOSTO|15</v>
      </c>
      <c r="B150" s="233">
        <f>[196]PLANCUSr!$H$157</f>
        <v>3298.0229539939255</v>
      </c>
      <c r="C150" s="207">
        <f t="shared" si="81"/>
        <v>164.91104236223799</v>
      </c>
      <c r="D150" s="214">
        <f t="shared" ref="D150:D155" si="86">100*(B150/B149-1)</f>
        <v>0.42584849096467536</v>
      </c>
      <c r="E150" s="214">
        <f t="shared" si="83"/>
        <v>1.1088445273158998</v>
      </c>
      <c r="F150" s="215">
        <f t="shared" si="84"/>
        <v>0.55906460665224866</v>
      </c>
      <c r="G150" s="216">
        <f t="shared" si="85"/>
        <v>6.4008420855782511</v>
      </c>
      <c r="H150" s="209">
        <f t="shared" si="43"/>
        <v>1.3395574041238445</v>
      </c>
    </row>
    <row r="151" spans="1:8" ht="16.5" customHeight="1">
      <c r="A151" s="234" t="str">
        <f>Lavagem!A151</f>
        <v>SETEMBRO|15</v>
      </c>
      <c r="B151" s="233">
        <f>[197]PLANCUSr!$H$157</f>
        <v>3297.6195397835631</v>
      </c>
      <c r="C151" s="207">
        <f t="shared" ref="C151:C157" si="87">100*B151/B$8</f>
        <v>164.89087044140464</v>
      </c>
      <c r="D151" s="214">
        <f t="shared" si="86"/>
        <v>-1.2232001292589167E-2</v>
      </c>
      <c r="E151" s="214">
        <f t="shared" si="83"/>
        <v>1.096476892146403</v>
      </c>
      <c r="F151" s="215">
        <f t="shared" si="84"/>
        <v>1.1468815554064538</v>
      </c>
      <c r="G151" s="216">
        <f t="shared" si="85"/>
        <v>6.2251782348221818</v>
      </c>
      <c r="H151" s="209">
        <f t="shared" si="43"/>
        <v>1.3397212788479902</v>
      </c>
    </row>
    <row r="152" spans="1:8" ht="16.5" customHeight="1">
      <c r="A152" s="234" t="str">
        <f>Lavagem!A152</f>
        <v>OUTUBRO|15</v>
      </c>
      <c r="B152" s="233">
        <f>[198]PLANCUSr!$H$157</f>
        <v>3297.6195397835631</v>
      </c>
      <c r="C152" s="207">
        <f t="shared" si="87"/>
        <v>164.89087044140464</v>
      </c>
      <c r="D152" s="214">
        <f t="shared" si="86"/>
        <v>0</v>
      </c>
      <c r="E152" s="214">
        <f t="shared" si="83"/>
        <v>1.096476892146403</v>
      </c>
      <c r="F152" s="215">
        <f t="shared" si="84"/>
        <v>0.60852023598036986</v>
      </c>
      <c r="G152" s="216">
        <f t="shared" si="85"/>
        <v>6.1170216462669069</v>
      </c>
      <c r="H152" s="209">
        <f t="shared" si="43"/>
        <v>1.3397212788479902</v>
      </c>
    </row>
    <row r="153" spans="1:8" ht="16.5" customHeight="1">
      <c r="A153" s="234" t="str">
        <f>Lavagem!A153</f>
        <v>NOVEMBRO|15</v>
      </c>
      <c r="B153" s="233">
        <f>[199]PLANCUSr!$H$157</f>
        <v>3323.5962508979046</v>
      </c>
      <c r="C153" s="207">
        <f t="shared" si="87"/>
        <v>166.18978393193112</v>
      </c>
      <c r="D153" s="214">
        <f t="shared" si="86"/>
        <v>0.78774130250471863</v>
      </c>
      <c r="E153" s="214">
        <f t="shared" si="83"/>
        <v>1.8928555960029847</v>
      </c>
      <c r="F153" s="215">
        <f t="shared" si="84"/>
        <v>1.3196309857701927</v>
      </c>
      <c r="G153" s="216">
        <f t="shared" si="85"/>
        <v>6.9529492547624416</v>
      </c>
      <c r="H153" s="209">
        <f t="shared" si="43"/>
        <v>1.3292502258056815</v>
      </c>
    </row>
    <row r="154" spans="1:8" ht="16.5" customHeight="1">
      <c r="A154" s="234" t="str">
        <f>Lavagem!A154</f>
        <v>DEZEMBRO|15</v>
      </c>
      <c r="B154" s="233">
        <f>[200]PLANCUSr!$H$157</f>
        <v>3337.8343994989445</v>
      </c>
      <c r="C154" s="207">
        <f t="shared" si="87"/>
        <v>166.90173407899195</v>
      </c>
      <c r="D154" s="214">
        <f t="shared" si="86"/>
        <v>0.42839585575995542</v>
      </c>
      <c r="E154" s="214">
        <f t="shared" si="83"/>
        <v>2.3293603666917351</v>
      </c>
      <c r="F154" s="215">
        <f t="shared" si="84"/>
        <v>2.3293603666917351</v>
      </c>
      <c r="G154" s="216">
        <f t="shared" si="85"/>
        <v>7.4111312569828947</v>
      </c>
      <c r="H154" s="209">
        <f t="shared" si="43"/>
        <v>1.3235800636652746</v>
      </c>
    </row>
    <row r="155" spans="1:8" ht="16.5" customHeight="1">
      <c r="A155" s="234" t="str">
        <f>Lavagem!A155</f>
        <v>JANEIRO|16</v>
      </c>
      <c r="B155" s="233">
        <f>[201]PLANCUSr!$H$158</f>
        <v>3308.0608487576592</v>
      </c>
      <c r="C155" s="207">
        <f t="shared" si="87"/>
        <v>165.4129672159159</v>
      </c>
      <c r="D155" s="214">
        <f t="shared" si="86"/>
        <v>-0.89200203418584589</v>
      </c>
      <c r="E155" s="214">
        <f t="shared" ref="E155:E160" si="88">100*(B155/B$154-1)</f>
        <v>-0.89200203418584589</v>
      </c>
      <c r="F155" s="215">
        <f t="shared" ref="F155:F160" si="89">(100*(B155/B143-1))</f>
        <v>1.3417463864932699</v>
      </c>
      <c r="G155" s="216">
        <f t="shared" ref="G155:G160" si="90">100*(B155/B131-1)</f>
        <v>1.0743220093088146</v>
      </c>
      <c r="H155" s="209">
        <f t="shared" si="43"/>
        <v>1.3354926855871148</v>
      </c>
    </row>
    <row r="156" spans="1:8" ht="16.5" customHeight="1">
      <c r="A156" s="234" t="str">
        <f>Lavagem!A156</f>
        <v>FEVEREIRO|16</v>
      </c>
      <c r="B156" s="233">
        <f>[202]PLANCUSr!$H$158</f>
        <v>3311.5650153300262</v>
      </c>
      <c r="C156" s="207">
        <f t="shared" si="87"/>
        <v>165.58818605766476</v>
      </c>
      <c r="D156" s="214">
        <f t="shared" ref="D156:D161" si="91">100*(B156/B155-1)</f>
        <v>0.10592811718330708</v>
      </c>
      <c r="E156" s="214">
        <f t="shared" si="88"/>
        <v>-0.78701879796259089</v>
      </c>
      <c r="F156" s="215">
        <f t="shared" si="89"/>
        <v>4.3013719774309678E-2</v>
      </c>
      <c r="G156" s="216">
        <f t="shared" si="90"/>
        <v>1.4088308949967709</v>
      </c>
      <c r="H156" s="209">
        <f t="shared" si="43"/>
        <v>1.3340795202695652</v>
      </c>
    </row>
    <row r="157" spans="1:8" ht="16.5" customHeight="1">
      <c r="A157" s="234" t="str">
        <f>Lavagem!A157</f>
        <v>MARÇO|16</v>
      </c>
      <c r="B157" s="233">
        <f>[203]PLANCUSr_CJ!$H$158</f>
        <v>3311.5650153300262</v>
      </c>
      <c r="C157" s="207">
        <f t="shared" si="87"/>
        <v>165.58818605766476</v>
      </c>
      <c r="D157" s="214">
        <f t="shared" si="91"/>
        <v>0</v>
      </c>
      <c r="E157" s="214">
        <f t="shared" si="88"/>
        <v>-0.78701879796259089</v>
      </c>
      <c r="F157" s="215">
        <f t="shared" si="89"/>
        <v>-0.51825890534916708</v>
      </c>
      <c r="G157" s="216">
        <f t="shared" si="90"/>
        <v>0.84871880224604013</v>
      </c>
      <c r="H157" s="209">
        <f t="shared" si="43"/>
        <v>1.3340795202695652</v>
      </c>
    </row>
    <row r="158" spans="1:8" ht="16.5" customHeight="1">
      <c r="A158" s="234" t="str">
        <f>Lavagem!A158</f>
        <v>ABRIL|16</v>
      </c>
      <c r="B158" s="233">
        <f>[204]PLANCUSr_CJ!$H$158</f>
        <v>3275.4792187089461</v>
      </c>
      <c r="C158" s="207">
        <f t="shared" ref="C158:C164" si="92">100*B158/B$8</f>
        <v>163.78378796272506</v>
      </c>
      <c r="D158" s="214">
        <f t="shared" si="91"/>
        <v>-1.0896901149163751</v>
      </c>
      <c r="E158" s="214">
        <f t="shared" si="88"/>
        <v>-1.8681328468350245</v>
      </c>
      <c r="F158" s="215">
        <f t="shared" si="89"/>
        <v>-0.73878554016100217</v>
      </c>
      <c r="G158" s="216">
        <f t="shared" si="90"/>
        <v>-0.21584685283791982</v>
      </c>
      <c r="H158" s="209">
        <f t="shared" si="43"/>
        <v>1.3487770100200178</v>
      </c>
    </row>
    <row r="159" spans="1:8" ht="16.5" customHeight="1">
      <c r="A159" s="234" t="str">
        <f>Lavagem!A159</f>
        <v>MAIO|16</v>
      </c>
      <c r="B159" s="233">
        <f>[205]PLANCUSr_CJ!$H$158</f>
        <v>3277.8759737234541</v>
      </c>
      <c r="C159" s="207">
        <f t="shared" si="92"/>
        <v>163.90363290414695</v>
      </c>
      <c r="D159" s="214">
        <f t="shared" si="91"/>
        <v>7.3172652136466176E-2</v>
      </c>
      <c r="E159" s="214">
        <f t="shared" si="88"/>
        <v>-1.7963271570480277</v>
      </c>
      <c r="F159" s="215">
        <f t="shared" si="89"/>
        <v>-1.0898463719018481</v>
      </c>
      <c r="G159" s="216">
        <f t="shared" si="90"/>
        <v>-0.20403569829514634</v>
      </c>
      <c r="H159" s="209">
        <f t="shared" si="43"/>
        <v>1.3477907957495168</v>
      </c>
    </row>
    <row r="160" spans="1:8" ht="16.5" customHeight="1">
      <c r="A160" s="234" t="str">
        <f>Lavagem!A160</f>
        <v>JUNHO|16</v>
      </c>
      <c r="B160" s="233">
        <f>[206]PLANCUSr_CJ!$H$158</f>
        <v>3301.8751641987624</v>
      </c>
      <c r="C160" s="207">
        <f t="shared" si="92"/>
        <v>165.1036644298039</v>
      </c>
      <c r="D160" s="214">
        <f t="shared" si="91"/>
        <v>0.73215675845255124</v>
      </c>
      <c r="E160" s="214">
        <f t="shared" si="88"/>
        <v>-1.0773223292797285</v>
      </c>
      <c r="F160" s="215">
        <f t="shared" si="89"/>
        <v>0.53467418460035887</v>
      </c>
      <c r="G160" s="216">
        <f t="shared" si="90"/>
        <v>0.45816689422619739</v>
      </c>
      <c r="H160" s="209">
        <f t="shared" si="43"/>
        <v>1.3379945780188234</v>
      </c>
    </row>
    <row r="161" spans="1:8" ht="16.5" customHeight="1">
      <c r="A161" s="234" t="str">
        <f>Lavagem!A161</f>
        <v>JULHO|16</v>
      </c>
      <c r="B161" s="233">
        <f>[207]PLANCUSr_CJ!$H$158</f>
        <v>3323.8916201182456</v>
      </c>
      <c r="C161" s="207">
        <f t="shared" si="92"/>
        <v>166.20455327910901</v>
      </c>
      <c r="D161" s="214">
        <f t="shared" si="91"/>
        <v>0.6667864417831737</v>
      </c>
      <c r="E161" s="214">
        <f t="shared" ref="E161" si="93">100*(B161/B$154-1)</f>
        <v>-0.41771932672249878</v>
      </c>
      <c r="F161" s="215">
        <f t="shared" ref="F161" si="94">(100*(B161/B149-1))</f>
        <v>1.2135576067300091</v>
      </c>
      <c r="G161" s="216">
        <f t="shared" ref="G161" si="95">100*(B161/B137-1)</f>
        <v>1.2547744823117268</v>
      </c>
      <c r="H161" s="209">
        <f t="shared" ref="H161:H211" si="96">+B$211/B161</f>
        <v>1.3291321053469825</v>
      </c>
    </row>
    <row r="162" spans="1:8" ht="16.5" customHeight="1">
      <c r="A162" s="234" t="str">
        <f>Lavagem!A162</f>
        <v>AGOSTO|16</v>
      </c>
      <c r="B162" s="233">
        <f>[208]PLANCUSr_CJ!$H$158</f>
        <v>3323.8916201182456</v>
      </c>
      <c r="C162" s="207">
        <f t="shared" si="92"/>
        <v>166.20455327910901</v>
      </c>
      <c r="D162" s="214">
        <f t="shared" ref="D162" si="97">100*(B162/B161-1)</f>
        <v>0</v>
      </c>
      <c r="E162" s="214">
        <f t="shared" ref="E162" si="98">100*(B162/B$154-1)</f>
        <v>-0.41771932672249878</v>
      </c>
      <c r="F162" s="215">
        <f t="shared" ref="F162" si="99">(100*(B162/B150-1))</f>
        <v>0.78436889267228249</v>
      </c>
      <c r="G162" s="216">
        <f t="shared" ref="G162" si="100">100*(B162/B138-1)</f>
        <v>1.3478186281890681</v>
      </c>
      <c r="H162" s="209">
        <f t="shared" si="96"/>
        <v>1.3291321053469825</v>
      </c>
    </row>
    <row r="163" spans="1:8" ht="16.5" customHeight="1">
      <c r="A163" s="234" t="str">
        <f>Lavagem!A163</f>
        <v>SETEMBRO|16</v>
      </c>
      <c r="B163" s="233">
        <f>[209]PLANCUSr_CJ!$H$158</f>
        <v>3265.4202898633075</v>
      </c>
      <c r="C163" s="207">
        <f t="shared" si="92"/>
        <v>163.28081134184586</v>
      </c>
      <c r="D163" s="214">
        <f t="shared" ref="D163" si="101">100*(B163/B162-1)</f>
        <v>-1.7591226471113997</v>
      </c>
      <c r="E163" s="214">
        <f t="shared" ref="E163" si="102">100*(B163/B$154-1)</f>
        <v>-2.1694937785561641</v>
      </c>
      <c r="F163" s="215">
        <f t="shared" ref="F163" si="103">(100*(B163/B151-1))</f>
        <v>-0.9764392020302326</v>
      </c>
      <c r="G163" s="216">
        <f t="shared" ref="G163" si="104">100*(B163/B139-1)</f>
        <v>0.15924375226836762</v>
      </c>
      <c r="H163" s="209">
        <f t="shared" si="96"/>
        <v>1.3529318356682019</v>
      </c>
    </row>
    <row r="164" spans="1:8" ht="16.5" customHeight="1">
      <c r="A164" s="234" t="str">
        <f>Lavagem!A164</f>
        <v>OUTUBRO|16</v>
      </c>
      <c r="B164" s="233">
        <f>[210]PLANCUSr_CJ!$H$158</f>
        <v>3265.5073007714254</v>
      </c>
      <c r="C164" s="207">
        <f t="shared" si="92"/>
        <v>163.28516214830015</v>
      </c>
      <c r="D164" s="214">
        <f t="shared" ref="D164" si="105">100*(B164/B163-1)</f>
        <v>2.6646158960863531E-3</v>
      </c>
      <c r="E164" s="214">
        <f t="shared" ref="E164" si="106">100*(B164/B$154-1)</f>
        <v>-2.1668869713361572</v>
      </c>
      <c r="F164" s="215">
        <f t="shared" ref="F164" si="107">(100*(B164/B152-1))</f>
        <v>-0.9738006044883285</v>
      </c>
      <c r="G164" s="216">
        <f t="shared" ref="G164" si="108">100*(B164/B140-1)</f>
        <v>-0.37120614224436244</v>
      </c>
      <c r="H164" s="209">
        <f t="shared" si="96"/>
        <v>1.3528957861920254</v>
      </c>
    </row>
    <row r="165" spans="1:8" ht="16.5" customHeight="1">
      <c r="A165" s="234" t="str">
        <f>Lavagem!A165</f>
        <v>NOVEMBRO|16</v>
      </c>
      <c r="B165" s="233">
        <f>[211]PLANCUSr_CJ!$H$158</f>
        <v>3288.9290552201355</v>
      </c>
      <c r="C165" s="207">
        <f t="shared" ref="C165" si="109">100*B165/B$8</f>
        <v>164.45632014021518</v>
      </c>
      <c r="D165" s="214">
        <f t="shared" ref="D165" si="110">100*(B165/B164-1)</f>
        <v>0.71724703978390814</v>
      </c>
      <c r="E165" s="214">
        <f t="shared" ref="E165" si="111">100*(B165/B$154-1)</f>
        <v>-1.4651818642096304</v>
      </c>
      <c r="F165" s="215">
        <f t="shared" ref="F165" si="112">(100*(B165/B153-1))</f>
        <v>-1.0430627868352915</v>
      </c>
      <c r="G165" s="216">
        <f t="shared" ref="G165" si="113">100*(B165/B141-1)</f>
        <v>0.26280361919879258</v>
      </c>
      <c r="H165" s="209">
        <f t="shared" si="96"/>
        <v>1.3432612843931524</v>
      </c>
    </row>
    <row r="166" spans="1:8" ht="16.5" customHeight="1">
      <c r="A166" s="234" t="str">
        <f>Lavagem!A166</f>
        <v>DEZEMBRO|16</v>
      </c>
      <c r="B166" s="233">
        <f>[212]PLANCUSr_CJ!$H$158</f>
        <v>3325.299614813237</v>
      </c>
      <c r="C166" s="207">
        <f t="shared" ref="C166" si="114">100*B166/B$8</f>
        <v>166.27495723809614</v>
      </c>
      <c r="D166" s="214">
        <f t="shared" ref="D166" si="115">100*(B166/B165-1)</f>
        <v>1.1058481038189294</v>
      </c>
      <c r="E166" s="214">
        <f t="shared" ref="E166" si="116">100*(B166/B$154-1)</f>
        <v>-0.37553644625356597</v>
      </c>
      <c r="F166" s="215">
        <f t="shared" ref="F166" si="117">(100*(B166/B154-1))</f>
        <v>-0.37553644625356597</v>
      </c>
      <c r="G166" s="216">
        <f t="shared" ref="G166" si="118">100*(B166/B142-1)</f>
        <v>1.9450763232966573</v>
      </c>
      <c r="H166" s="209">
        <f t="shared" si="96"/>
        <v>1.3285693256970121</v>
      </c>
    </row>
    <row r="167" spans="1:8" ht="16.5" customHeight="1">
      <c r="A167" s="234" t="str">
        <f>Lavagem!A167</f>
        <v>JANEIRO|17</v>
      </c>
      <c r="B167" s="233">
        <f>[213]PLANCUSr_CJ!$H$158</f>
        <v>3411.0609824295611</v>
      </c>
      <c r="C167" s="207">
        <f t="shared" ref="C167" si="119">100*B167/B$8</f>
        <v>170.56328291845315</v>
      </c>
      <c r="D167" s="214">
        <f t="shared" ref="D167" si="120">100*(B167/B166-1)</f>
        <v>2.5790568535323022</v>
      </c>
      <c r="E167" s="214">
        <f t="shared" ref="E167:E172" si="121">100*(B167/B$166-1)</f>
        <v>2.5790568535323022</v>
      </c>
      <c r="F167" s="215">
        <f t="shared" ref="F167" si="122">(100*(B167/B155-1))</f>
        <v>3.1136106130146723</v>
      </c>
      <c r="G167" s="216">
        <f t="shared" ref="G167" si="123">100*(B167/B143-1)</f>
        <v>4.4971337573975534</v>
      </c>
      <c r="H167" s="209">
        <f t="shared" si="96"/>
        <v>1.2951662517174556</v>
      </c>
    </row>
    <row r="168" spans="1:8" ht="16.5" customHeight="1">
      <c r="A168" s="234" t="str">
        <f>Lavagem!A168</f>
        <v>FEVEREIRO|17</v>
      </c>
      <c r="B168" s="233">
        <f>[214]PLANCUSr_CJ!$H$158</f>
        <v>3389.1105033362915</v>
      </c>
      <c r="C168" s="207">
        <f t="shared" ref="C168" si="124">100*B168/B$8</f>
        <v>169.46569310840107</v>
      </c>
      <c r="D168" s="214">
        <f t="shared" ref="D168" si="125">100*(B168/B167-1)</f>
        <v>-0.6435088439150416</v>
      </c>
      <c r="E168" s="214">
        <f t="shared" si="121"/>
        <v>1.9189515506751853</v>
      </c>
      <c r="F168" s="215">
        <f t="shared" ref="F168" si="126">(100*(B168/B156-1))</f>
        <v>2.3416568192769383</v>
      </c>
      <c r="G168" s="216">
        <f t="shared" ref="G168" si="127">100*(B168/B144-1)</f>
        <v>2.3856777727535805</v>
      </c>
      <c r="H168" s="209">
        <f t="shared" si="96"/>
        <v>1.3035547417659936</v>
      </c>
    </row>
    <row r="169" spans="1:8" ht="16.5" customHeight="1">
      <c r="A169" s="234" t="str">
        <f>Lavagem!A169</f>
        <v>MARÇO|17</v>
      </c>
      <c r="B169" s="233">
        <f>[215]PLANCUSr_CJ!$H$158</f>
        <v>3381.1442591940099</v>
      </c>
      <c r="C169" s="207">
        <f t="shared" ref="C169" si="128">100*B169/B$8</f>
        <v>169.06735700112054</v>
      </c>
      <c r="D169" s="214">
        <f t="shared" ref="D169" si="129">100*(B169/B168-1)</f>
        <v>-0.23505412805039372</v>
      </c>
      <c r="E169" s="214">
        <f t="shared" si="121"/>
        <v>1.6793868477896323</v>
      </c>
      <c r="F169" s="215">
        <f t="shared" ref="F169" si="130">(100*(B169/B157-1))</f>
        <v>2.1010985302080565</v>
      </c>
      <c r="G169" s="216">
        <f t="shared" ref="G169" si="131">100*(B169/B145-1)</f>
        <v>1.5719504946159368</v>
      </c>
      <c r="H169" s="209">
        <f t="shared" si="96"/>
        <v>1.3066260201645712</v>
      </c>
    </row>
    <row r="170" spans="1:8" ht="16.5" customHeight="1">
      <c r="A170" s="234" t="str">
        <f>Lavagem!A170</f>
        <v>ABRIL|17</v>
      </c>
      <c r="B170" s="233">
        <f>[216]PLANCUSr_CJ!$H$158</f>
        <v>3350.1683759041921</v>
      </c>
      <c r="C170" s="207">
        <f t="shared" ref="C170" si="132">100*B170/B$8</f>
        <v>167.5184699034038</v>
      </c>
      <c r="D170" s="214">
        <f t="shared" ref="D170" si="133">100*(B170/B169-1)</f>
        <v>-0.91613610408926016</v>
      </c>
      <c r="E170" s="214">
        <f t="shared" si="121"/>
        <v>0.74786527446044637</v>
      </c>
      <c r="F170" s="215">
        <f t="shared" ref="F170" si="134">(100*(B170/B158-1))</f>
        <v>2.2802512917387885</v>
      </c>
      <c r="G170" s="216">
        <f t="shared" ref="G170" si="135">100*(B170/B146-1)</f>
        <v>1.5246195847550714</v>
      </c>
      <c r="H170" s="209">
        <f t="shared" si="96"/>
        <v>1.318707172680714</v>
      </c>
    </row>
    <row r="171" spans="1:8" ht="16.5" customHeight="1">
      <c r="A171" s="234" t="str">
        <f>Lavagem!A171</f>
        <v>MAIO|17</v>
      </c>
      <c r="B171" s="233">
        <f>[217]PLANCUSr_CJ!$H$158</f>
        <v>3337.6388051352765</v>
      </c>
      <c r="C171" s="207">
        <f t="shared" ref="C171" si="136">100*B171/B$8</f>
        <v>166.89195377399025</v>
      </c>
      <c r="D171" s="214">
        <f t="shared" ref="D171" si="137">100*(B171/B170-1)</f>
        <v>-0.37399824017901873</v>
      </c>
      <c r="E171" s="214">
        <f t="shared" si="121"/>
        <v>0.37107003131604532</v>
      </c>
      <c r="F171" s="215">
        <f t="shared" ref="F171" si="138">(100*(B171/B159-1))</f>
        <v>1.8232182026074462</v>
      </c>
      <c r="G171" s="216">
        <f t="shared" ref="G171" si="139">100*(B171/B147-1)</f>
        <v>0.71350155327263298</v>
      </c>
      <c r="H171" s="209">
        <f t="shared" si="96"/>
        <v>1.3236576289188657</v>
      </c>
    </row>
    <row r="172" spans="1:8" ht="16.5" customHeight="1">
      <c r="A172" s="234" t="str">
        <f>Lavagem!A172</f>
        <v>JUNHO|17</v>
      </c>
      <c r="B172" s="233">
        <f>[218]PLANCUSr_CJ!$H$158</f>
        <v>3350.1683759041921</v>
      </c>
      <c r="C172" s="207">
        <f t="shared" ref="C172" si="140">100*B172/B$8</f>
        <v>167.5184699034038</v>
      </c>
      <c r="D172" s="214">
        <f t="shared" ref="D172" si="141">100*(B172/B171-1)</f>
        <v>0.3754022379425237</v>
      </c>
      <c r="E172" s="214">
        <f t="shared" si="121"/>
        <v>0.74786527446044637</v>
      </c>
      <c r="F172" s="215">
        <f t="shared" ref="F172" si="142">(100*(B172/B160-1))</f>
        <v>1.4625995624867549</v>
      </c>
      <c r="G172" s="216">
        <f t="shared" ref="G172" si="143">100*(B172/B148-1)</f>
        <v>2.0050938893718007</v>
      </c>
      <c r="H172" s="209">
        <f t="shared" si="96"/>
        <v>1.318707172680714</v>
      </c>
    </row>
    <row r="173" spans="1:8" ht="16.5" customHeight="1">
      <c r="A173" s="234" t="str">
        <f>Lavagem!A173</f>
        <v>JULHO|17</v>
      </c>
      <c r="B173" s="233">
        <f>[219]PLANCUSr_CJ!$H$158</f>
        <v>3326.8336323635981</v>
      </c>
      <c r="C173" s="207">
        <f t="shared" ref="C173" si="144">100*B173/B$8</f>
        <v>166.35166271794296</v>
      </c>
      <c r="D173" s="214">
        <f t="shared" ref="D173" si="145">100*(B173/B172-1)</f>
        <v>-0.6965245003333953</v>
      </c>
      <c r="E173" s="214">
        <f t="shared" ref="E173" si="146">100*(B173/B$166-1)</f>
        <v>4.6131709260954779E-2</v>
      </c>
      <c r="F173" s="215">
        <f t="shared" ref="F173" si="147">(100*(B173/B161-1))</f>
        <v>8.8511076219988105E-2</v>
      </c>
      <c r="G173" s="216">
        <f t="shared" ref="G173" si="148">100*(B173/B149-1)</f>
        <v>1.3031428158482683</v>
      </c>
      <c r="H173" s="209">
        <f t="shared" si="96"/>
        <v>1.3279567165654149</v>
      </c>
    </row>
    <row r="174" spans="1:8" ht="16.5" customHeight="1">
      <c r="A174" s="234" t="str">
        <f>Lavagem!A174</f>
        <v>AGOSTO|17</v>
      </c>
      <c r="B174" s="233">
        <f>[220]PLANCUSr_CJ!$H$158</f>
        <v>3344.7186313163284</v>
      </c>
      <c r="C174" s="207">
        <f t="shared" ref="C174" si="149">100*B174/B$8</f>
        <v>167.24596632379584</v>
      </c>
      <c r="D174" s="214">
        <f t="shared" ref="D174" si="150">100*(B174/B173-1)</f>
        <v>0.53759823691645892</v>
      </c>
      <c r="E174" s="214">
        <f t="shared" ref="E174" si="151">100*(B174/B$166-1)</f>
        <v>0.58397794943305659</v>
      </c>
      <c r="F174" s="215">
        <f t="shared" ref="F174" si="152">(100*(B174/B162-1))</f>
        <v>0.62658514712166102</v>
      </c>
      <c r="G174" s="216">
        <f t="shared" ref="G174" si="153">100*(B174/B150-1)</f>
        <v>1.4158687787740876</v>
      </c>
      <c r="H174" s="209">
        <f t="shared" si="96"/>
        <v>1.3208558189704216</v>
      </c>
    </row>
    <row r="175" spans="1:8" ht="16.5" customHeight="1">
      <c r="A175" s="234" t="str">
        <f>Lavagem!A175</f>
        <v>SETEMBRO|17</v>
      </c>
      <c r="B175" s="233">
        <f>[221]PLANCUSr_CJ!$H$158</f>
        <v>3349.8601849778142</v>
      </c>
      <c r="C175" s="207">
        <f t="shared" ref="C175" si="154">100*B175/B$8</f>
        <v>167.50305943245664</v>
      </c>
      <c r="D175" s="214">
        <f t="shared" ref="D175" si="155">100*(B175/B174-1)</f>
        <v>0.153721560114084</v>
      </c>
      <c r="E175" s="214">
        <f t="shared" ref="E175" si="156">100*(B175/B$166-1)</f>
        <v>0.73859720956173103</v>
      </c>
      <c r="F175" s="215">
        <f t="shared" ref="F175" si="157">(100*(B175/B163-1))</f>
        <v>2.5858813757184462</v>
      </c>
      <c r="G175" s="216">
        <f t="shared" ref="G175" si="158">100*(B175/B151-1)</f>
        <v>1.5841926142177165</v>
      </c>
      <c r="H175" s="209">
        <f t="shared" si="96"/>
        <v>1.3188284952323213</v>
      </c>
    </row>
    <row r="176" spans="1:8" ht="16.5" customHeight="1">
      <c r="A176" s="234" t="str">
        <f>Lavagem!A176</f>
        <v>OUTUBRO|17</v>
      </c>
      <c r="B176" s="233">
        <f>[222]PLANCUSr_CJ!$H$158</f>
        <v>3370.9801054026902</v>
      </c>
      <c r="C176" s="207">
        <f t="shared" ref="C176" si="159">100*B176/B$8</f>
        <v>168.55911881726354</v>
      </c>
      <c r="D176" s="214">
        <f t="shared" ref="D176" si="160">100*(B176/B175-1)</f>
        <v>0.63047169907528566</v>
      </c>
      <c r="E176" s="214">
        <f t="shared" ref="E176" si="161">100*(B176/B$166-1)</f>
        <v>1.3737255550134497</v>
      </c>
      <c r="F176" s="215">
        <f t="shared" ref="F176" si="162">(100*(B176/B164-1))</f>
        <v>3.2299056445639795</v>
      </c>
      <c r="G176" s="216">
        <f t="shared" ref="G176" si="163">100*(B176/B152-1)</f>
        <v>2.2246521993844803</v>
      </c>
      <c r="H176" s="209">
        <f t="shared" si="96"/>
        <v>1.3105657490865568</v>
      </c>
    </row>
    <row r="177" spans="1:8" ht="16.5" customHeight="1">
      <c r="A177" s="234" t="str">
        <f>Lavagem!A177</f>
        <v>NOVEMBRO|17</v>
      </c>
      <c r="B177" s="233">
        <f>[223]PLANCUSr_CJ!$H$158</f>
        <v>3392.4164291298116</v>
      </c>
      <c r="C177" s="207">
        <f t="shared" ref="C177" si="164">100*B177/B$8</f>
        <v>169.63099931644956</v>
      </c>
      <c r="D177" s="214">
        <f t="shared" ref="D177" si="165">100*(B177/B176-1)</f>
        <v>0.63590774958195428</v>
      </c>
      <c r="E177" s="214">
        <f t="shared" ref="E177" si="166">100*(B177/B$166-1)</f>
        <v>2.0183689318577169</v>
      </c>
      <c r="F177" s="215">
        <f t="shared" ref="F177" si="167">(100*(B177/B165-1))</f>
        <v>3.1465371302376477</v>
      </c>
      <c r="G177" s="216">
        <f t="shared" ref="G177" si="168">100*(B177/B153-1)</f>
        <v>2.0706539855228856</v>
      </c>
      <c r="H177" s="209">
        <f t="shared" si="96"/>
        <v>1.3022844215284588</v>
      </c>
    </row>
    <row r="178" spans="1:8" ht="16.5" customHeight="1">
      <c r="A178" s="234" t="str">
        <f>Lavagem!A178</f>
        <v>DEZEMBRO|17</v>
      </c>
      <c r="B178" s="233">
        <f>[224]PLANCUSr_CJ!$H$158</f>
        <v>3392.4164291298116</v>
      </c>
      <c r="C178" s="207">
        <f t="shared" ref="C178" si="169">100*B178/B$8</f>
        <v>169.63099931644956</v>
      </c>
      <c r="D178" s="214">
        <f t="shared" ref="D178" si="170">100*(B178/B177-1)</f>
        <v>0</v>
      </c>
      <c r="E178" s="214">
        <f t="shared" ref="E178" si="171">100*(B178/B$166-1)</f>
        <v>2.0183689318577169</v>
      </c>
      <c r="F178" s="215">
        <f t="shared" ref="F178" si="172">(100*(B178/B166-1))</f>
        <v>2.0183689318577169</v>
      </c>
      <c r="G178" s="216">
        <f t="shared" ref="G178" si="173">100*(B178/B154-1)</f>
        <v>1.6352527746451573</v>
      </c>
      <c r="H178" s="209">
        <f t="shared" si="96"/>
        <v>1.3022844215284588</v>
      </c>
    </row>
    <row r="179" spans="1:8" ht="16.5" customHeight="1">
      <c r="A179" s="234" t="str">
        <f>Lavagem!A179</f>
        <v>JANEIRO|18</v>
      </c>
      <c r="B179" s="233">
        <f>[225]PLANCUSr_CJ!$H$158</f>
        <v>3392.4164291298116</v>
      </c>
      <c r="C179" s="207">
        <f t="shared" ref="C179" si="174">100*B179/B$8</f>
        <v>169.63099931644956</v>
      </c>
      <c r="D179" s="214">
        <f t="shared" ref="D179" si="175">100*(B179/B178-1)</f>
        <v>0</v>
      </c>
      <c r="E179" s="214">
        <f t="shared" ref="E179:E184" si="176">100*(B179/B$178-1)</f>
        <v>0</v>
      </c>
      <c r="F179" s="215">
        <f t="shared" ref="F179" si="177">(100*(B179/B167-1))</f>
        <v>-0.54659102829847095</v>
      </c>
      <c r="G179" s="216">
        <f t="shared" ref="G179" si="178">100*(B179/B155-1)</f>
        <v>2.5500008684493203</v>
      </c>
      <c r="H179" s="209">
        <f t="shared" si="96"/>
        <v>1.3022844215284588</v>
      </c>
    </row>
    <row r="180" spans="1:8" ht="16.5" customHeight="1">
      <c r="A180" s="234" t="str">
        <f>Lavagem!A180</f>
        <v>FEVEREIRO|18</v>
      </c>
      <c r="B180" s="233">
        <f>[226]PLANCUSr_CJ!$H$158</f>
        <v>3376.7702858337802</v>
      </c>
      <c r="C180" s="207">
        <f t="shared" ref="C180" si="179">100*B180/B$8</f>
        <v>168.84864521040163</v>
      </c>
      <c r="D180" s="214">
        <f t="shared" ref="D180" si="180">100*(B180/B179-1)</f>
        <v>-0.46120939521698823</v>
      </c>
      <c r="E180" s="214">
        <f t="shared" si="176"/>
        <v>-0.46120939521698823</v>
      </c>
      <c r="F180" s="215">
        <f t="shared" ref="F180" si="181">(100*(B180/B168-1))</f>
        <v>-0.36411375463748508</v>
      </c>
      <c r="G180" s="216">
        <f t="shared" ref="G180" si="182">100*(B180/B156-1)</f>
        <v>1.9690167700740613</v>
      </c>
      <c r="H180" s="209">
        <f t="shared" si="96"/>
        <v>1.3083185094132355</v>
      </c>
    </row>
    <row r="181" spans="1:8" ht="16.5" customHeight="1">
      <c r="A181" s="234" t="str">
        <f>Lavagem!A181</f>
        <v>MARÇO|18</v>
      </c>
      <c r="B181" s="233">
        <f>[227]PLANCUSr_CJ!$H$158</f>
        <v>3375.8052557619321</v>
      </c>
      <c r="C181" s="207">
        <f t="shared" ref="C181" si="183">100*B181/B$8</f>
        <v>168.8003908115453</v>
      </c>
      <c r="D181" s="214">
        <f t="shared" ref="D181" si="184">100*(B181/B180-1)</f>
        <v>-2.8578493357889201E-2</v>
      </c>
      <c r="E181" s="214">
        <f t="shared" si="176"/>
        <v>-0.48965608187849785</v>
      </c>
      <c r="F181" s="215">
        <f t="shared" ref="F181" si="185">(100*(B181/B169-1))</f>
        <v>-0.15790522446831323</v>
      </c>
      <c r="G181" s="216">
        <f t="shared" ref="G181" si="186">100*(B181/B157-1)</f>
        <v>1.9398755613893259</v>
      </c>
      <c r="H181" s="209">
        <f t="shared" si="96"/>
        <v>1.3086925140164287</v>
      </c>
    </row>
    <row r="182" spans="1:8" ht="16.5" customHeight="1">
      <c r="A182" s="234" t="str">
        <f>Lavagem!A182</f>
        <v>ABRIL|18</v>
      </c>
      <c r="B182" s="233">
        <f>[228]PLANCUSr_CJ!$H$158</f>
        <v>3384.0025320017512</v>
      </c>
      <c r="C182" s="207">
        <f t="shared" ref="C182" si="187">100*B182/B$8</f>
        <v>169.21027921684058</v>
      </c>
      <c r="D182" s="214">
        <f t="shared" ref="D182" si="188">100*(B182/B181-1)</f>
        <v>0.24282432245841257</v>
      </c>
      <c r="E182" s="214">
        <f t="shared" si="176"/>
        <v>-0.24802076348329205</v>
      </c>
      <c r="F182" s="215">
        <f t="shared" ref="F182" si="189">(100*(B182/B170-1))</f>
        <v>1.0099240486212135</v>
      </c>
      <c r="G182" s="216">
        <f t="shared" ref="G182" si="190">100*(B182/B158-1)</f>
        <v>3.3132041465242512</v>
      </c>
      <c r="H182" s="209">
        <f t="shared" si="96"/>
        <v>1.3055223881229265</v>
      </c>
    </row>
    <row r="183" spans="1:8" ht="16.5" customHeight="1">
      <c r="A183" s="234" t="str">
        <f>Lavagem!A183</f>
        <v>MAIO|18</v>
      </c>
      <c r="B183" s="233">
        <f>[229]PLANCUSr_CJ!$H$158</f>
        <v>3392.9013748774014</v>
      </c>
      <c r="C183" s="207">
        <f t="shared" ref="C183" si="191">100*B183/B$8</f>
        <v>169.65524805875359</v>
      </c>
      <c r="D183" s="214">
        <f t="shared" ref="D183" si="192">100*(B183/B182-1)</f>
        <v>0.26296797332436839</v>
      </c>
      <c r="E183" s="214">
        <f t="shared" si="176"/>
        <v>1.429499466591988E-2</v>
      </c>
      <c r="F183" s="215">
        <f t="shared" ref="F183" si="193">(100*(B183/B171-1))</f>
        <v>1.6557384716733958</v>
      </c>
      <c r="G183" s="216">
        <f t="shared" ref="G183" si="194">100*(B183/B159-1)</f>
        <v>3.5091443994839766</v>
      </c>
      <c r="H183" s="209">
        <f t="shared" si="96"/>
        <v>1.3020982866478374</v>
      </c>
    </row>
    <row r="184" spans="1:8" ht="16.5" customHeight="1">
      <c r="A184" s="234" t="str">
        <f>Lavagem!A184</f>
        <v>JUNHO|18</v>
      </c>
      <c r="B184" s="233">
        <f>[230]PLANCUSr_CJ!$H$158</f>
        <v>3393.5895520597851</v>
      </c>
      <c r="C184" s="207">
        <f t="shared" ref="C184" si="195">100*B184/B$8</f>
        <v>169.68965898252821</v>
      </c>
      <c r="D184" s="214">
        <f t="shared" ref="D184" si="196">100*(B184/B183-1)</f>
        <v>2.0282852530861817E-2</v>
      </c>
      <c r="E184" s="214">
        <f t="shared" si="176"/>
        <v>3.4580746629453429E-2</v>
      </c>
      <c r="F184" s="215">
        <f t="shared" ref="F184" si="197">(100*(B184/B172-1))</f>
        <v>1.2960893687581798</v>
      </c>
      <c r="G184" s="216">
        <f t="shared" ref="G184" si="198">100*(B184/B160-1)</f>
        <v>2.7776455286818269</v>
      </c>
      <c r="H184" s="209">
        <f t="shared" si="96"/>
        <v>1.3018342375292433</v>
      </c>
    </row>
    <row r="185" spans="1:8" ht="16.5" customHeight="1">
      <c r="A185" s="234" t="str">
        <f>Lavagem!A185</f>
        <v>JULHO|18</v>
      </c>
      <c r="B185" s="233">
        <f>[231]PLANCUSr_CJ!$H$158</f>
        <v>3424.8343781565118</v>
      </c>
      <c r="C185" s="207">
        <f t="shared" ref="C185" si="199">100*B185/B$8</f>
        <v>171.25199402746722</v>
      </c>
      <c r="D185" s="214">
        <f t="shared" ref="D185" si="200">100*(B185/B184-1)</f>
        <v>0.92070138764313025</v>
      </c>
      <c r="E185" s="214">
        <f t="shared" ref="E185" si="201">100*(B185/B$178-1)</f>
        <v>0.95560051968666126</v>
      </c>
      <c r="F185" s="215">
        <f t="shared" ref="F185" si="202">(100*(B185/B173-1))</f>
        <v>2.9457663539155687</v>
      </c>
      <c r="G185" s="216">
        <f t="shared" ref="G185" si="203">100*(B185/B161-1)</f>
        <v>3.0368847596383253</v>
      </c>
      <c r="H185" s="209">
        <f t="shared" si="96"/>
        <v>1.2899575801884406</v>
      </c>
    </row>
    <row r="186" spans="1:8" ht="16.5" customHeight="1">
      <c r="A186" s="234" t="str">
        <f>Lavagem!A186</f>
        <v>AGOSTO|18</v>
      </c>
      <c r="B186" s="233">
        <f>[232]PLANCUSr_CJ!$H$158</f>
        <v>3433.1399648404517</v>
      </c>
      <c r="C186" s="207">
        <f t="shared" ref="C186" si="204">100*B186/B$8</f>
        <v>171.66729827991938</v>
      </c>
      <c r="D186" s="214">
        <f t="shared" ref="D186" si="205">100*(B186/B185-1)</f>
        <v>0.24251060830597915</v>
      </c>
      <c r="E186" s="214">
        <f t="shared" ref="E186" si="206">100*(B186/B$178-1)</f>
        <v>1.2004285606259213</v>
      </c>
      <c r="F186" s="215">
        <f t="shared" ref="F186" si="207">(100*(B186/B174-1))</f>
        <v>2.6436105176752767</v>
      </c>
      <c r="G186" s="216">
        <f t="shared" ref="G186" si="208">100*(B186/B162-1)</f>
        <v>3.2867601356484588</v>
      </c>
      <c r="H186" s="209">
        <f t="shared" si="96"/>
        <v>1.2868368642809671</v>
      </c>
    </row>
    <row r="187" spans="1:8" ht="16.5" customHeight="1">
      <c r="A187" s="234" t="str">
        <f>Lavagem!A187</f>
        <v>SETEMBRO|18</v>
      </c>
      <c r="B187" s="233">
        <f>[233]PLANCUSr_CJ!$H$158</f>
        <v>3464.2186792034995</v>
      </c>
      <c r="C187" s="207">
        <f t="shared" ref="C187" si="209">100*B187/B$8</f>
        <v>173.22132723980934</v>
      </c>
      <c r="D187" s="214">
        <f t="shared" ref="D187" si="210">100*(B187/B186-1)</f>
        <v>0.90525625757562622</v>
      </c>
      <c r="E187" s="214">
        <f t="shared" ref="E187" si="211">100*(B187/B$178-1)</f>
        <v>2.116551772864339</v>
      </c>
      <c r="F187" s="215">
        <f t="shared" ref="F187" si="212">(100*(B187/B175-1))</f>
        <v>3.4138288737696199</v>
      </c>
      <c r="G187" s="216">
        <f t="shared" ref="G187" si="213">100*(B187/B163-1)</f>
        <v>6.0879878145337907</v>
      </c>
      <c r="H187" s="209">
        <f t="shared" si="96"/>
        <v>1.2752922018216031</v>
      </c>
    </row>
    <row r="188" spans="1:8" ht="16.5" customHeight="1">
      <c r="A188" s="234" t="str">
        <f>Lavagem!A188</f>
        <v>OUTUBRO|18</v>
      </c>
      <c r="B188" s="233">
        <f>[234]PLANCUSr_CJ!$H$158</f>
        <v>3471.1203395937182</v>
      </c>
      <c r="C188" s="207">
        <f t="shared" ref="C188" si="214">100*B188/B$8</f>
        <v>173.56643096554382</v>
      </c>
      <c r="D188" s="214">
        <f t="shared" ref="D188" si="215">100*(B188/B187-1)</f>
        <v>0.19922704163137794</v>
      </c>
      <c r="E188" s="214">
        <f t="shared" ref="E188" si="216">100*(B188/B$178-1)</f>
        <v>2.3199955579773723</v>
      </c>
      <c r="F188" s="215">
        <f t="shared" ref="F188" si="217">(100*(B188/B176-1))</f>
        <v>2.9706563391024732</v>
      </c>
      <c r="G188" s="216">
        <f t="shared" ref="G188" si="218">100*(B188/B164-1)</f>
        <v>6.2965113804436923</v>
      </c>
      <c r="H188" s="209">
        <f t="shared" si="96"/>
        <v>1.2727565266463952</v>
      </c>
    </row>
    <row r="189" spans="1:8" ht="16.5" customHeight="1">
      <c r="A189" s="234" t="str">
        <f>Lavagem!A189</f>
        <v>NOVEMBRO|18</v>
      </c>
      <c r="B189" s="233">
        <f>[235]PLANCUSr_CJ!$H$158</f>
        <v>3484.9629840669509</v>
      </c>
      <c r="C189" s="207">
        <f t="shared" ref="C189" si="219">100*B189/B$8</f>
        <v>174.25860471963071</v>
      </c>
      <c r="D189" s="214">
        <f t="shared" ref="D189" si="220">100*(B189/B188-1)</f>
        <v>0.39879471522017429</v>
      </c>
      <c r="E189" s="214">
        <f t="shared" ref="E189" si="221">100*(B189/B$178-1)</f>
        <v>2.7280422928761316</v>
      </c>
      <c r="F189" s="215">
        <f t="shared" ref="F189" si="222">(100*(B189/B177-1))</f>
        <v>2.7280422928761316</v>
      </c>
      <c r="G189" s="216">
        <f t="shared" ref="G189" si="223">100*(B189/B165-1)</f>
        <v>5.9604182867877054</v>
      </c>
      <c r="H189" s="209">
        <f t="shared" si="96"/>
        <v>1.2677010020454447</v>
      </c>
    </row>
    <row r="190" spans="1:8" ht="16.5" customHeight="1">
      <c r="A190" s="234" t="str">
        <f>Lavagem!A190</f>
        <v>DEZEMBRO|18</v>
      </c>
      <c r="B190" s="233">
        <f>[236]PLANCUSr_CJ!$H$158</f>
        <v>3529.2594463812984</v>
      </c>
      <c r="C190" s="207">
        <f t="shared" ref="C190" si="224">100*B190/B$8</f>
        <v>176.47356073270888</v>
      </c>
      <c r="D190" s="214">
        <f t="shared" ref="D190" si="225">100*(B190/B189-1)</f>
        <v>1.2710741123182157</v>
      </c>
      <c r="E190" s="214">
        <f t="shared" ref="E190" si="226">100*(B190/B$178-1)</f>
        <v>4.0337918445521925</v>
      </c>
      <c r="F190" s="215">
        <f t="shared" ref="F190" si="227">(100*(B190/B178-1))</f>
        <v>4.0337918445521925</v>
      </c>
      <c r="G190" s="216">
        <f t="shared" ref="G190" si="228">100*(B190/B166-1)</f>
        <v>6.1335775777761503</v>
      </c>
      <c r="H190" s="209">
        <f t="shared" si="96"/>
        <v>1.2517898256312128</v>
      </c>
    </row>
    <row r="191" spans="1:8" ht="16.5" customHeight="1">
      <c r="A191" s="234" t="str">
        <f>Lavagem!A191</f>
        <v>JANEIRO|19</v>
      </c>
      <c r="B191" s="233">
        <f>[237]PLANCUSr_CJ!$H$158</f>
        <v>3582.1225281039374</v>
      </c>
      <c r="C191" s="207">
        <f t="shared" ref="C191" si="229">100*B191/B$8</f>
        <v>179.11687341760191</v>
      </c>
      <c r="D191" s="214">
        <f t="shared" ref="D191" si="230">100*(B191/B190-1)</f>
        <v>1.4978519580599814</v>
      </c>
      <c r="E191" s="214">
        <f t="shared" ref="E191:E196" si="231">100*(B191/B$190-1)</f>
        <v>1.4978519580599814</v>
      </c>
      <c r="F191" s="215">
        <f t="shared" ref="F191" si="232">(100*(B191/B179-1))</f>
        <v>5.5920640327398408</v>
      </c>
      <c r="G191" s="216">
        <f t="shared" ref="G191" si="233">100*(B191/B167-1)</f>
        <v>5.0149072841417119</v>
      </c>
      <c r="H191" s="209">
        <f t="shared" si="96"/>
        <v>1.2333165692496293</v>
      </c>
    </row>
    <row r="192" spans="1:8" ht="16.5" customHeight="1">
      <c r="A192" s="273" t="str">
        <f>Lavagem!A192</f>
        <v>FEVEREIRO|19</v>
      </c>
      <c r="B192" s="274">
        <f>[238]PLANCUSr_CJ!$H$158</f>
        <v>3635.6343877428358</v>
      </c>
      <c r="C192" s="275">
        <f t="shared" ref="C192" si="234">100*B192/B$8</f>
        <v>181.79262694475847</v>
      </c>
      <c r="D192" s="283">
        <f t="shared" ref="D192" si="235">100*(B192/B191-1)</f>
        <v>1.4938589961416726</v>
      </c>
      <c r="E192" s="283">
        <f t="shared" si="231"/>
        <v>3.014086750426026</v>
      </c>
      <c r="F192" s="284">
        <f t="shared" ref="F192" si="236">(100*(B192/B180-1))</f>
        <v>7.666026409763238</v>
      </c>
      <c r="G192" s="285">
        <f t="shared" ref="G192" si="237">100*(B192/B168-1)</f>
        <v>7.2739995985336758</v>
      </c>
      <c r="H192" s="209">
        <f t="shared" si="96"/>
        <v>1.2151637364547485</v>
      </c>
    </row>
    <row r="193" spans="1:8" ht="16.5" customHeight="1">
      <c r="A193" s="196" t="str">
        <f>Lavagem!A193</f>
        <v>MARÇO|19</v>
      </c>
      <c r="B193" s="280">
        <f>[239]PLANCUSr_CJ!$H$158</f>
        <v>3635.6343877428358</v>
      </c>
      <c r="C193" s="197">
        <f t="shared" ref="C193" si="238">100*B193/B$8</f>
        <v>181.79262694475847</v>
      </c>
      <c r="D193" s="198">
        <f t="shared" ref="D193" si="239">100*(B193/B192-1)</f>
        <v>0</v>
      </c>
      <c r="E193" s="198">
        <f t="shared" si="231"/>
        <v>3.014086750426026</v>
      </c>
      <c r="F193" s="199">
        <f t="shared" ref="F193" si="240">(100*(B193/B181-1))</f>
        <v>7.6968045338936308</v>
      </c>
      <c r="G193" s="200">
        <f t="shared" ref="G193" si="241">100*(B193/B169-1)</f>
        <v>7.5267456529491739</v>
      </c>
      <c r="H193" s="209">
        <f t="shared" si="96"/>
        <v>1.2151637364547485</v>
      </c>
    </row>
    <row r="194" spans="1:8" ht="16.5" customHeight="1">
      <c r="A194" s="196" t="str">
        <f>Lavagem!A194</f>
        <v>ABRIL|19</v>
      </c>
      <c r="B194" s="280">
        <f>[240]PLANCUSr_CJ!$H$158</f>
        <v>3600.6243623493888</v>
      </c>
      <c r="C194" s="197">
        <f t="shared" ref="C194" si="242">100*B194/B$8</f>
        <v>180.04202063870773</v>
      </c>
      <c r="D194" s="198">
        <f t="shared" ref="D194" si="243">100*(B194/B193-1)</f>
        <v>-0.96296881533192158</v>
      </c>
      <c r="E194" s="198">
        <f t="shared" si="231"/>
        <v>2.0220932196204577</v>
      </c>
      <c r="F194" s="199">
        <f t="shared" ref="F194" si="244">(100*(B194/B182-1))</f>
        <v>6.4013495350282223</v>
      </c>
      <c r="G194" s="200">
        <f t="shared" ref="G194" si="245">100*(B194/B170-1)</f>
        <v>7.4759223520399987</v>
      </c>
      <c r="H194" s="209">
        <f t="shared" si="96"/>
        <v>1.226979163166664</v>
      </c>
    </row>
    <row r="195" spans="1:8" ht="16.5" customHeight="1">
      <c r="A195" s="196" t="str">
        <f>Lavagem!A195</f>
        <v>MAIO|19</v>
      </c>
      <c r="B195" s="280">
        <f>[241]PLANCUSr_CJ!$H$158</f>
        <v>3566.00984108375</v>
      </c>
      <c r="C195" s="197">
        <f t="shared" ref="C195" si="246">100*B195/B$8</f>
        <v>178.31119072563101</v>
      </c>
      <c r="D195" s="198">
        <f t="shared" ref="D195" si="247">100*(B195/B194-1)</f>
        <v>-0.96134774922905786</v>
      </c>
      <c r="E195" s="198">
        <f t="shared" si="231"/>
        <v>1.0413061227372511</v>
      </c>
      <c r="F195" s="199">
        <f t="shared" ref="F195" si="248">(100*(B195/B183-1))</f>
        <v>5.1020777523367755</v>
      </c>
      <c r="G195" s="200">
        <f t="shared" ref="G195" si="249">100*(B195/B171-1)</f>
        <v>6.8422932882103105</v>
      </c>
      <c r="H195" s="209">
        <f t="shared" si="96"/>
        <v>1.2388891965733639</v>
      </c>
    </row>
    <row r="196" spans="1:8" ht="16.5" customHeight="1">
      <c r="A196" s="196" t="str">
        <f>Lavagem!A196</f>
        <v>JUNHO|19</v>
      </c>
      <c r="B196" s="280">
        <f>[242]PLANCUSr_CJ!$H$158</f>
        <v>3954.6242869840239</v>
      </c>
      <c r="C196" s="197">
        <f t="shared" ref="C196" si="250">100*B196/B$8</f>
        <v>197.7430789339372</v>
      </c>
      <c r="D196" s="198">
        <f t="shared" ref="D196" si="251">100*(B196/B195-1)</f>
        <v>10.897739019760234</v>
      </c>
      <c r="E196" s="198">
        <f t="shared" si="231"/>
        <v>12.052523966150197</v>
      </c>
      <c r="F196" s="199">
        <f t="shared" ref="F196" si="252">(100*(B196/B184-1))</f>
        <v>16.532191837510556</v>
      </c>
      <c r="G196" s="200">
        <f t="shared" ref="G196" si="253">100*(B196/B172-1)</f>
        <v>18.042553187097422</v>
      </c>
      <c r="H196" s="209">
        <f t="shared" si="96"/>
        <v>1.1171455861265245</v>
      </c>
    </row>
    <row r="197" spans="1:8" ht="16.5" customHeight="1">
      <c r="A197" s="196" t="str">
        <f>Lavagem!A197</f>
        <v>JULHO|19</v>
      </c>
      <c r="B197" s="280">
        <f>[243]PLANCUSr_CJ!$H$158</f>
        <v>4007.8828728344702</v>
      </c>
      <c r="C197" s="197">
        <f t="shared" ref="C197" si="254">100*B197/B$8</f>
        <v>200.4061680118042</v>
      </c>
      <c r="D197" s="198">
        <f t="shared" ref="D197" si="255">100*(B197/B196-1)</f>
        <v>1.3467419907812195</v>
      </c>
      <c r="E197" s="198">
        <f t="shared" ref="E197" si="256">100*(B197/B$190-1)</f>
        <v>13.561582358132519</v>
      </c>
      <c r="F197" s="199">
        <f t="shared" ref="F197" si="257">(100*(B197/B185-1))</f>
        <v>17.024136945033707</v>
      </c>
      <c r="G197" s="200">
        <f t="shared" ref="G197" si="258">100*(B197/B173-1)</f>
        <v>20.471394597120572</v>
      </c>
      <c r="H197" s="209">
        <f t="shared" si="96"/>
        <v>1.1023004431934706</v>
      </c>
    </row>
    <row r="198" spans="1:8" ht="16.5" customHeight="1">
      <c r="A198" s="196" t="str">
        <f>Lavagem!A198</f>
        <v>AGOSTO|19</v>
      </c>
      <c r="B198" s="280">
        <f>[244]PLANCUSr_CJ!$H$158</f>
        <v>4043.2093015301616</v>
      </c>
      <c r="C198" s="197">
        <f t="shared" ref="C198" si="259">100*B198/B$8</f>
        <v>202.172595432234</v>
      </c>
      <c r="D198" s="198">
        <f t="shared" ref="D198" si="260">100*(B198/B197-1)</f>
        <v>0.88142367969719082</v>
      </c>
      <c r="E198" s="198">
        <f t="shared" ref="E198" si="261">100*(B198/B$190-1)</f>
        <v>14.562541036075949</v>
      </c>
      <c r="F198" s="199">
        <f t="shared" ref="F198" si="262">(100*(B198/B186-1))</f>
        <v>17.770010629848045</v>
      </c>
      <c r="G198" s="200">
        <f t="shared" ref="G198" si="263">100*(B198/B174-1)</f>
        <v>20.883391017526009</v>
      </c>
      <c r="H198" s="209">
        <f t="shared" si="96"/>
        <v>1.0926693963928593</v>
      </c>
    </row>
    <row r="199" spans="1:8" ht="16.5" customHeight="1">
      <c r="A199" s="196" t="str">
        <f>Lavagem!A199</f>
        <v>SETEMBRO|19</v>
      </c>
      <c r="B199" s="280">
        <f>[245]PLANCUSr_CJ!$H$158</f>
        <v>4048.4853265951024</v>
      </c>
      <c r="C199" s="197">
        <f t="shared" ref="C199" si="264">100*B199/B$8</f>
        <v>202.436412514506</v>
      </c>
      <c r="D199" s="198">
        <f t="shared" ref="D199" si="265">100*(B199/B198-1)</f>
        <v>0.13049102016420289</v>
      </c>
      <c r="E199" s="198">
        <f t="shared" ref="E199" si="266">100*(B199/B$190-1)</f>
        <v>14.712034864599953</v>
      </c>
      <c r="F199" s="199">
        <f t="shared" ref="F199" si="267">(100*(B199/B187-1))</f>
        <v>16.865755354853597</v>
      </c>
      <c r="G199" s="200">
        <f t="shared" ref="G199" si="268">100*(B199/B175-1)</f>
        <v>20.85535225470656</v>
      </c>
      <c r="H199" s="209">
        <f t="shared" si="96"/>
        <v>1.0912454191129637</v>
      </c>
    </row>
    <row r="200" spans="1:8" ht="16.5" customHeight="1">
      <c r="A200" s="196" t="str">
        <f>Lavagem!A200</f>
        <v>OUTUBRO|19</v>
      </c>
      <c r="B200" s="280">
        <f>[246]PLANCUSr_CJ!$H$158</f>
        <v>4081.5099212669593</v>
      </c>
      <c r="C200" s="197">
        <f t="shared" ref="C200" si="269">100*B200/B$8</f>
        <v>204.08774132782762</v>
      </c>
      <c r="D200" s="198">
        <f t="shared" ref="D200" si="270">100*(B200/B199-1)</f>
        <v>0.81572716726705519</v>
      </c>
      <c r="E200" s="198">
        <f t="shared" ref="E200" si="271">100*(B200/B$190-1)</f>
        <v>15.647772097115364</v>
      </c>
      <c r="F200" s="199">
        <f t="shared" ref="F200" si="272">(100*(B200/B188-1))</f>
        <v>17.584800351366802</v>
      </c>
      <c r="G200" s="200">
        <f t="shared" ref="G200" si="273">100*(B200/B176-1)</f>
        <v>21.077840676825677</v>
      </c>
      <c r="H200" s="209">
        <f t="shared" si="96"/>
        <v>1.0824158588891974</v>
      </c>
    </row>
    <row r="201" spans="1:8" ht="16.5" customHeight="1">
      <c r="A201" s="196" t="str">
        <f>Lavagem!A201</f>
        <v>NOVEMBRO|19</v>
      </c>
      <c r="B201" s="280">
        <f>[247]PLANCUSr_CJ!$H$158</f>
        <v>4157.6365557871868</v>
      </c>
      <c r="C201" s="197">
        <f t="shared" ref="C201" si="274">100*B201/B$8</f>
        <v>207.8943014474462</v>
      </c>
      <c r="D201" s="198">
        <f t="shared" ref="D201" si="275">100*(B201/B200-1)</f>
        <v>1.8651586297405487</v>
      </c>
      <c r="E201" s="198">
        <f t="shared" ref="E201" si="276">100*(B201/B$190-1)</f>
        <v>17.804786498487402</v>
      </c>
      <c r="F201" s="199">
        <f t="shared" ref="F201" si="277">(100*(B201/B189-1))</f>
        <v>19.302172642741411</v>
      </c>
      <c r="G201" s="200">
        <f t="shared" ref="G201" si="278">100*(B201/B177-1)</f>
        <v>22.556786368755489</v>
      </c>
      <c r="H201" s="209">
        <f t="shared" si="96"/>
        <v>1.0625967440187889</v>
      </c>
    </row>
    <row r="202" spans="1:8" ht="16.5" customHeight="1">
      <c r="A202" s="196" t="str">
        <f>Lavagem!A202</f>
        <v>DEZEMBRO|19</v>
      </c>
      <c r="B202" s="280">
        <f>[248]PLANCUSr_CJ!$H$158</f>
        <v>4237.5283896041328</v>
      </c>
      <c r="C202" s="197">
        <f t="shared" ref="C202" si="279">100*B202/B$8</f>
        <v>211.88913282817632</v>
      </c>
      <c r="D202" s="198">
        <f t="shared" ref="D202" si="280">100*(B202/B201-1)</f>
        <v>1.9215684859644977</v>
      </c>
      <c r="E202" s="198">
        <f t="shared" ref="E202" si="281">100*(B202/B$190-1)</f>
        <v>20.06848615080008</v>
      </c>
      <c r="F202" s="199">
        <f t="shared" ref="F202" si="282">(100*(B202/B190-1))</f>
        <v>20.06848615080008</v>
      </c>
      <c r="G202" s="200">
        <f t="shared" ref="G202" si="283">100*(B202/B178-1)</f>
        <v>24.911798953028331</v>
      </c>
      <c r="H202" s="209">
        <f t="shared" si="96"/>
        <v>1.0425631785338134</v>
      </c>
    </row>
    <row r="203" spans="1:8" ht="16.5" customHeight="1">
      <c r="A203" s="196" t="str">
        <f>Lavagem!A203</f>
        <v>JANEIRO|20</v>
      </c>
      <c r="B203" s="280">
        <f>[249]PLANCUSr_CJ!$H$158</f>
        <v>4227.8464485554259</v>
      </c>
      <c r="C203" s="197">
        <f t="shared" ref="C203" si="284">100*B203/B$8</f>
        <v>211.40500672817495</v>
      </c>
      <c r="D203" s="198">
        <f t="shared" ref="D203" si="285">100*(B203/B202-1)</f>
        <v>-0.22848085389727268</v>
      </c>
      <c r="E203" s="198">
        <f t="shared" ref="E203:E208" si="286">100*(B203/B$202-1)</f>
        <v>-0.22848085389727268</v>
      </c>
      <c r="F203" s="199">
        <f t="shared" ref="F203" si="287">(100*(B203/B191-1))</f>
        <v>18.026293500163383</v>
      </c>
      <c r="G203" s="200">
        <f t="shared" ref="G203" si="288">100*(B203/B179-1)</f>
        <v>24.626399408162001</v>
      </c>
      <c r="H203" s="209">
        <f t="shared" si="96"/>
        <v>1.0449506907949473</v>
      </c>
    </row>
    <row r="204" spans="1:8" ht="16.5" customHeight="1">
      <c r="A204" s="196" t="str">
        <f>Lavagem!A204</f>
        <v>FEVEREIRO|20</v>
      </c>
      <c r="B204" s="280">
        <f>[250]PLANCUSr_CJ!$H$158</f>
        <v>4289.108858163866</v>
      </c>
      <c r="C204" s="197">
        <f t="shared" ref="C204" si="289">100*B204/B$8</f>
        <v>214.4683110068537</v>
      </c>
      <c r="D204" s="198">
        <f t="shared" ref="D204" si="290">100*(B204/B203-1)</f>
        <v>1.4490216320266924</v>
      </c>
      <c r="E204" s="198">
        <f t="shared" si="286"/>
        <v>1.2172300411313897</v>
      </c>
      <c r="F204" s="199">
        <f t="shared" ref="F204" si="291">(100*(B204/B192-1))</f>
        <v>17.974152533713283</v>
      </c>
      <c r="G204" s="200">
        <f t="shared" ref="G204" si="292">100*(B204/B180-1)</f>
        <v>27.018082223642125</v>
      </c>
      <c r="H204" s="209">
        <f t="shared" si="96"/>
        <v>1.0300253999345266</v>
      </c>
    </row>
    <row r="205" spans="1:8" ht="16.5" customHeight="1">
      <c r="A205" s="196" t="str">
        <f>Lavagem!A205</f>
        <v>MARÇO|20</v>
      </c>
      <c r="B205" s="280">
        <f>[251]PLANCUSr_CJ!$H$158</f>
        <v>4218.0684067272314</v>
      </c>
      <c r="C205" s="197">
        <f t="shared" ref="C205" si="293">100*B205/B$8</f>
        <v>210.91607530087961</v>
      </c>
      <c r="D205" s="198">
        <f t="shared" ref="D205" si="294">100*(B205/B204-1)</f>
        <v>-1.656298634188702</v>
      </c>
      <c r="E205" s="198">
        <f t="shared" si="286"/>
        <v>-0.45922955760349105</v>
      </c>
      <c r="F205" s="199">
        <f t="shared" ref="F205" si="295">(100*(B205/B193-1))</f>
        <v>16.020148256601697</v>
      </c>
      <c r="G205" s="200">
        <f t="shared" ref="G205" si="296">100*(B205/B181-1)</f>
        <v>24.949992287845912</v>
      </c>
      <c r="H205" s="209">
        <f t="shared" si="96"/>
        <v>1.0473730250431774</v>
      </c>
    </row>
    <row r="206" spans="1:8" ht="16.5" customHeight="1">
      <c r="A206" s="196" t="str">
        <f>Lavagem!A206</f>
        <v>ABRIL|20</v>
      </c>
      <c r="B206" s="280">
        <f>[252]PLANCUSr_CJ!$H$158</f>
        <v>4213.5359294225682</v>
      </c>
      <c r="C206" s="197">
        <f t="shared" ref="C206" si="297">100*B206/B$8</f>
        <v>210.68943783739866</v>
      </c>
      <c r="D206" s="198">
        <f t="shared" ref="D206" si="298">100*(B206/B205-1)</f>
        <v>-0.10745385962528387</v>
      </c>
      <c r="E206" s="198">
        <f t="shared" si="286"/>
        <v>-0.56618995734458721</v>
      </c>
      <c r="F206" s="199">
        <f t="shared" ref="F206" si="299">(100*(B206/B194-1))</f>
        <v>17.022369050273767</v>
      </c>
      <c r="G206" s="200">
        <f t="shared" ref="G206" si="300">100*(B206/B182-1)</f>
        <v>24.513379927352474</v>
      </c>
      <c r="H206" s="209">
        <f t="shared" si="96"/>
        <v>1.0484996784157941</v>
      </c>
    </row>
    <row r="207" spans="1:8" ht="16.5" customHeight="1">
      <c r="A207" s="196" t="str">
        <f>Lavagem!A207</f>
        <v>MAIO|20</v>
      </c>
      <c r="B207" s="280">
        <f>[253]PLANCUSr_CJ!$H$158</f>
        <v>4221.9978724903149</v>
      </c>
      <c r="C207" s="197">
        <f t="shared" ref="C207" si="301">100*B207/B$8</f>
        <v>211.11256037813843</v>
      </c>
      <c r="D207" s="198">
        <f>100*(B207/B206-1)</f>
        <v>0.20082759965704966</v>
      </c>
      <c r="E207" s="198">
        <f t="shared" si="286"/>
        <v>-0.36649942338837782</v>
      </c>
      <c r="F207" s="199">
        <f>(100*(B207/B195-1))</f>
        <v>18.395575465019</v>
      </c>
      <c r="G207" s="200">
        <f>100*(B207/B183-1)</f>
        <v>24.436209780570817</v>
      </c>
      <c r="H207" s="209">
        <f t="shared" si="96"/>
        <v>1.04639822198373</v>
      </c>
    </row>
    <row r="208" spans="1:8" ht="16.5" customHeight="1">
      <c r="A208" s="196" t="str">
        <f>Lavagem!A208</f>
        <v>JUNHO|20</v>
      </c>
      <c r="B208" s="280">
        <f>[254]PLANCUSr_CJ!$H$158</f>
        <v>4227.3688185459296</v>
      </c>
      <c r="C208" s="197">
        <f t="shared" ref="C208" si="302">100*B208/B$8</f>
        <v>211.38112379472415</v>
      </c>
      <c r="D208" s="198">
        <f>100*(B208/B207-1)</f>
        <v>0.12721337664831633</v>
      </c>
      <c r="E208" s="198">
        <f t="shared" si="286"/>
        <v>-0.23975228303195761</v>
      </c>
      <c r="F208" s="199">
        <f>(100*(B208/B196-1))</f>
        <v>6.8968506682062891</v>
      </c>
      <c r="G208" s="200">
        <f>100*(B208/B184-1)</f>
        <v>24.569243088931337</v>
      </c>
      <c r="H208" s="209">
        <f t="shared" si="96"/>
        <v>1.0450687547325384</v>
      </c>
    </row>
    <row r="209" spans="1:8" ht="16.5" customHeight="1">
      <c r="A209" s="196" t="str">
        <f>Lavagem!A209</f>
        <v>JULHO|20</v>
      </c>
      <c r="B209" s="280">
        <f>[255]PLANCUSr_CJ!$H$158</f>
        <v>4248.7576817777144</v>
      </c>
      <c r="C209" s="197">
        <f t="shared" ref="C209" si="303">100*B209/B$8</f>
        <v>212.45063112675331</v>
      </c>
      <c r="D209" s="198">
        <f>100*(B209/B208-1)</f>
        <v>0.50596160755951303</v>
      </c>
      <c r="E209" s="198">
        <f t="shared" ref="E209" si="304">100*(B209/B$202-1)</f>
        <v>0.26499627002216641</v>
      </c>
      <c r="F209" s="199">
        <f>(100*(B209/B197-1))</f>
        <v>6.0100261556019996</v>
      </c>
      <c r="G209" s="200">
        <f>100*(B209/B185-1)</f>
        <v>24.057318183797726</v>
      </c>
      <c r="H209" s="209">
        <f t="shared" si="96"/>
        <v>1.039807726842279</v>
      </c>
    </row>
    <row r="210" spans="1:8" ht="16.5" customHeight="1">
      <c r="A210" s="196" t="str">
        <f>Lavagem!A210</f>
        <v>AGOSTO|20</v>
      </c>
      <c r="B210" s="280">
        <f>[256]PLANCUSr_CJ!$H$158</f>
        <v>4340.7994024008822</v>
      </c>
      <c r="C210" s="197">
        <f t="shared" ref="C210" si="305">100*B210/B$8</f>
        <v>217.05299329964208</v>
      </c>
      <c r="D210" s="198">
        <f>100*(B210/B209-1)</f>
        <v>2.1663207816703833</v>
      </c>
      <c r="E210" s="198">
        <f t="shared" ref="E210" si="306">100*(B210/B$202-1)</f>
        <v>2.4370577209607003</v>
      </c>
      <c r="F210" s="199">
        <f>(100*(B210/B198-1))</f>
        <v>7.3602447629435686</v>
      </c>
      <c r="G210" s="200">
        <f>100*(B210/B186-1)</f>
        <v>26.438171669549515</v>
      </c>
      <c r="H210" s="279">
        <f t="shared" si="96"/>
        <v>1.017759785109958</v>
      </c>
    </row>
    <row r="211" spans="1:8" ht="16.5" customHeight="1" thickBot="1">
      <c r="A211" s="151" t="str">
        <f>Lavagem!A211</f>
        <v>SETEMBRO|20</v>
      </c>
      <c r="B211" s="192">
        <f>[259]PLANCUSr_CJ!$H$158</f>
        <v>4417.8910669929564</v>
      </c>
      <c r="C211" s="153">
        <f t="shared" ref="C211" si="307">100*B211/B$8</f>
        <v>220.90780781811688</v>
      </c>
      <c r="D211" s="154">
        <f>100*(B211/B210-1)</f>
        <v>1.7759785109958015</v>
      </c>
      <c r="E211" s="154">
        <f t="shared" ref="E211" si="308">100*(B211/B$202-1)</f>
        <v>4.2563178533813417</v>
      </c>
      <c r="F211" s="155">
        <f>(100*(B211/B199-1))</f>
        <v>9.1245419112963688</v>
      </c>
      <c r="G211" s="156">
        <f>100*(B211/B187-1)</f>
        <v>27.529220182160309</v>
      </c>
      <c r="H211" s="157">
        <f t="shared" si="96"/>
        <v>1</v>
      </c>
    </row>
    <row r="212" spans="1:8">
      <c r="A212" s="125" t="s">
        <v>18</v>
      </c>
      <c r="B212" s="104"/>
      <c r="C212" s="104"/>
      <c r="D212" s="104"/>
      <c r="E212" s="104"/>
      <c r="F212" s="104"/>
      <c r="G212" s="104"/>
      <c r="H212" s="104"/>
    </row>
    <row r="213" spans="1:8">
      <c r="B213" s="104"/>
      <c r="C213" s="104"/>
      <c r="D213" s="104"/>
      <c r="E213" s="104"/>
      <c r="F213" s="104"/>
      <c r="G213" s="104"/>
      <c r="H213" s="104"/>
    </row>
    <row r="214" spans="1:8">
      <c r="B214" s="104"/>
      <c r="C214" s="104"/>
      <c r="D214" s="104"/>
      <c r="E214" s="104"/>
      <c r="F214" s="104"/>
      <c r="G214" s="104"/>
      <c r="H214" s="104"/>
    </row>
    <row r="215" spans="1:8">
      <c r="B215" s="104"/>
      <c r="C215" s="104"/>
      <c r="D215" s="104"/>
      <c r="E215" s="104"/>
      <c r="F215" s="104"/>
      <c r="G215" s="104"/>
      <c r="H215" s="104"/>
    </row>
    <row r="216" spans="1:8">
      <c r="B216" s="104"/>
      <c r="C216" s="104"/>
      <c r="D216" s="104"/>
      <c r="E216" s="104"/>
      <c r="F216" s="104"/>
      <c r="G216" s="104"/>
      <c r="H216" s="104"/>
    </row>
    <row r="217" spans="1:8">
      <c r="B217" s="104"/>
      <c r="C217" s="104"/>
      <c r="D217" s="104"/>
      <c r="E217" s="104"/>
      <c r="F217" s="104"/>
      <c r="G217" s="104"/>
      <c r="H217" s="104"/>
    </row>
    <row r="218" spans="1:8">
      <c r="B218" s="104"/>
      <c r="C218" s="104"/>
      <c r="D218" s="104"/>
      <c r="E218" s="104"/>
      <c r="F218" s="104"/>
      <c r="G218" s="104"/>
      <c r="H218" s="104"/>
    </row>
    <row r="219" spans="1:8">
      <c r="B219" s="104"/>
      <c r="C219" s="104"/>
      <c r="D219" s="104"/>
      <c r="E219" s="104"/>
      <c r="F219" s="104"/>
      <c r="G219" s="104"/>
      <c r="H219" s="104"/>
    </row>
    <row r="220" spans="1:8">
      <c r="B220" s="104"/>
      <c r="C220" s="104"/>
      <c r="D220" s="104"/>
      <c r="E220" s="104"/>
      <c r="F220" s="104"/>
      <c r="G220" s="104"/>
      <c r="H220" s="104"/>
    </row>
    <row r="221" spans="1:8">
      <c r="B221" s="104"/>
      <c r="C221" s="104"/>
      <c r="D221" s="104"/>
      <c r="E221" s="104"/>
      <c r="F221" s="104"/>
      <c r="G221" s="104"/>
      <c r="H221" s="104"/>
    </row>
    <row r="222" spans="1:8">
      <c r="B222" s="104"/>
      <c r="C222" s="104"/>
      <c r="D222" s="104"/>
      <c r="E222" s="104"/>
      <c r="F222" s="104"/>
      <c r="G222" s="104"/>
      <c r="H222" s="104"/>
    </row>
    <row r="223" spans="1:8">
      <c r="A223" s="105"/>
      <c r="B223" s="104"/>
      <c r="C223" s="104"/>
      <c r="D223" s="104"/>
      <c r="E223" s="104"/>
      <c r="F223" s="104"/>
      <c r="G223" s="104"/>
      <c r="H223" s="104"/>
    </row>
    <row r="224" spans="1:8">
      <c r="B224" s="104"/>
      <c r="C224" s="104"/>
      <c r="D224" s="104"/>
      <c r="E224" s="104"/>
      <c r="F224" s="104"/>
      <c r="G224" s="104"/>
      <c r="H224" s="104"/>
    </row>
    <row r="225" spans="1:8">
      <c r="B225" s="104"/>
      <c r="C225" s="104"/>
      <c r="D225" s="104"/>
      <c r="E225" s="104"/>
      <c r="F225" s="104"/>
      <c r="G225" s="104"/>
      <c r="H225" s="104"/>
    </row>
    <row r="226" spans="1:8">
      <c r="A226" s="106"/>
      <c r="B226" s="104"/>
      <c r="C226" s="104"/>
      <c r="D226" s="104"/>
      <c r="E226" s="104"/>
      <c r="F226" s="104"/>
      <c r="G226" s="104"/>
      <c r="H226" s="104"/>
    </row>
    <row r="227" spans="1:8">
      <c r="A227" s="106"/>
      <c r="B227" s="107"/>
      <c r="C227" s="107"/>
      <c r="D227" s="108"/>
      <c r="E227" s="107"/>
      <c r="F227" s="104"/>
      <c r="G227" s="104"/>
      <c r="H227" s="104"/>
    </row>
    <row r="228" spans="1:8">
      <c r="B228" s="104"/>
      <c r="C228" s="104"/>
      <c r="D228" s="104"/>
      <c r="E228" s="104"/>
      <c r="F228" s="104"/>
      <c r="G228" s="104"/>
      <c r="H228" s="104"/>
    </row>
    <row r="229" spans="1:8">
      <c r="B229" s="104"/>
      <c r="C229" s="104"/>
      <c r="D229" s="104"/>
      <c r="E229" s="104"/>
      <c r="F229" s="104"/>
      <c r="G229" s="104"/>
      <c r="H229" s="104"/>
    </row>
    <row r="230" spans="1:8">
      <c r="B230" s="104"/>
      <c r="C230" s="104"/>
      <c r="D230" s="104"/>
      <c r="E230" s="104"/>
      <c r="F230" s="104"/>
      <c r="G230" s="104"/>
      <c r="H230" s="104"/>
    </row>
    <row r="231" spans="1:8">
      <c r="B231" s="104"/>
      <c r="C231" s="104"/>
      <c r="D231" s="104"/>
      <c r="E231" s="104"/>
      <c r="F231" s="104"/>
      <c r="G231" s="104"/>
      <c r="H231" s="104"/>
    </row>
    <row r="232" spans="1:8">
      <c r="B232" s="104"/>
      <c r="C232" s="104"/>
      <c r="D232" s="104"/>
      <c r="E232" s="104"/>
      <c r="F232" s="104"/>
      <c r="G232" s="104"/>
      <c r="H232" s="104"/>
    </row>
    <row r="233" spans="1:8">
      <c r="B233" s="104"/>
      <c r="C233" s="104"/>
      <c r="D233" s="104"/>
      <c r="E233" s="104"/>
      <c r="F233" s="104"/>
      <c r="G233" s="104"/>
      <c r="H233" s="104"/>
    </row>
    <row r="234" spans="1:8">
      <c r="B234" s="104"/>
      <c r="C234" s="104"/>
      <c r="D234" s="104"/>
      <c r="E234" s="104"/>
      <c r="F234" s="104"/>
      <c r="G234" s="104"/>
      <c r="H234" s="104"/>
    </row>
    <row r="235" spans="1:8">
      <c r="B235" s="104"/>
      <c r="C235" s="104"/>
      <c r="D235" s="104"/>
      <c r="E235" s="104"/>
      <c r="F235" s="104"/>
      <c r="G235" s="104"/>
      <c r="H235" s="104"/>
    </row>
    <row r="236" spans="1:8">
      <c r="B236" s="104"/>
      <c r="C236" s="104"/>
      <c r="D236" s="104"/>
      <c r="E236" s="104"/>
      <c r="F236" s="104"/>
      <c r="G236" s="104"/>
      <c r="H236" s="104"/>
    </row>
    <row r="237" spans="1:8">
      <c r="B237" s="104"/>
      <c r="C237" s="104"/>
      <c r="D237" s="104"/>
      <c r="E237" s="104"/>
      <c r="F237" s="104"/>
      <c r="G237" s="104"/>
      <c r="H237" s="104"/>
    </row>
    <row r="238" spans="1:8">
      <c r="B238" s="104"/>
      <c r="C238" s="104"/>
      <c r="D238" s="104"/>
      <c r="E238" s="104"/>
      <c r="F238" s="104"/>
      <c r="G238" s="104"/>
      <c r="H238" s="104"/>
    </row>
    <row r="239" spans="1:8">
      <c r="B239" s="104"/>
      <c r="C239" s="104"/>
      <c r="D239" s="104"/>
      <c r="E239" s="104"/>
      <c r="F239" s="104"/>
      <c r="G239" s="104"/>
      <c r="H239" s="104"/>
    </row>
    <row r="240" spans="1:8">
      <c r="A240" s="105"/>
      <c r="B240" s="104"/>
      <c r="C240" s="104"/>
      <c r="D240" s="104"/>
      <c r="E240" s="104"/>
      <c r="F240" s="104"/>
      <c r="G240" s="104"/>
      <c r="H240" s="104"/>
    </row>
    <row r="241" spans="2:8">
      <c r="B241" s="104"/>
      <c r="C241" s="104"/>
      <c r="D241" s="104"/>
      <c r="E241" s="104"/>
      <c r="F241" s="104"/>
      <c r="G241" s="104"/>
      <c r="H241" s="104"/>
    </row>
    <row r="242" spans="2:8">
      <c r="B242" s="104"/>
      <c r="C242" s="104"/>
      <c r="D242" s="104"/>
      <c r="E242" s="104"/>
      <c r="F242" s="104"/>
      <c r="G242" s="104"/>
      <c r="H242" s="104"/>
    </row>
    <row r="243" spans="2:8">
      <c r="B243" s="104"/>
      <c r="C243" s="104"/>
      <c r="D243" s="104"/>
      <c r="E243" s="104"/>
      <c r="F243" s="104"/>
      <c r="G243" s="104"/>
      <c r="H243" s="104"/>
    </row>
    <row r="244" spans="2:8">
      <c r="B244" s="104"/>
      <c r="C244" s="104"/>
      <c r="D244" s="104"/>
      <c r="E244" s="104"/>
      <c r="F244" s="104"/>
      <c r="G244" s="104"/>
      <c r="H244" s="104"/>
    </row>
    <row r="245" spans="2:8">
      <c r="B245" s="104"/>
      <c r="C245" s="104"/>
      <c r="D245" s="104"/>
      <c r="E245" s="104"/>
      <c r="F245" s="104"/>
      <c r="G245" s="104"/>
      <c r="H245" s="104"/>
    </row>
    <row r="246" spans="2:8">
      <c r="B246" s="104"/>
      <c r="C246" s="104"/>
      <c r="D246" s="104"/>
      <c r="E246" s="104"/>
      <c r="F246" s="104"/>
      <c r="G246" s="104"/>
      <c r="H246" s="104"/>
    </row>
    <row r="247" spans="2:8">
      <c r="B247" s="104"/>
      <c r="C247" s="104"/>
      <c r="D247" s="104"/>
      <c r="E247" s="104"/>
      <c r="F247" s="104"/>
      <c r="G247" s="104"/>
      <c r="H247" s="104"/>
    </row>
    <row r="248" spans="2:8">
      <c r="B248" s="104"/>
      <c r="C248" s="104"/>
      <c r="D248" s="104"/>
      <c r="E248" s="104"/>
      <c r="F248" s="104"/>
      <c r="G248" s="104"/>
      <c r="H248" s="104"/>
    </row>
    <row r="249" spans="2:8">
      <c r="B249" s="104"/>
      <c r="C249" s="104"/>
      <c r="D249" s="104"/>
      <c r="E249" s="104"/>
      <c r="F249" s="104"/>
      <c r="G249" s="104"/>
      <c r="H249" s="104"/>
    </row>
    <row r="250" spans="2:8">
      <c r="B250" s="104"/>
      <c r="C250" s="104"/>
      <c r="D250" s="104"/>
      <c r="E250" s="104"/>
      <c r="F250" s="104"/>
      <c r="G250" s="104"/>
      <c r="H250" s="104"/>
    </row>
    <row r="251" spans="2:8">
      <c r="B251" s="104"/>
      <c r="C251" s="104"/>
      <c r="D251" s="104"/>
      <c r="E251" s="104"/>
      <c r="F251" s="104"/>
      <c r="G251" s="104"/>
      <c r="H251" s="104"/>
    </row>
    <row r="252" spans="2:8">
      <c r="B252" s="104"/>
      <c r="C252" s="104"/>
      <c r="D252" s="104"/>
      <c r="E252" s="104"/>
      <c r="F252" s="104"/>
      <c r="G252" s="104"/>
      <c r="H252" s="104"/>
    </row>
    <row r="253" spans="2:8">
      <c r="B253" s="104"/>
      <c r="C253" s="104"/>
      <c r="D253" s="104"/>
      <c r="E253" s="104"/>
      <c r="F253" s="104"/>
      <c r="G253" s="104"/>
      <c r="H253" s="104"/>
    </row>
    <row r="254" spans="2:8">
      <c r="B254" s="104"/>
      <c r="C254" s="104"/>
      <c r="D254" s="104"/>
      <c r="E254" s="104"/>
      <c r="F254" s="104"/>
      <c r="G254" s="104"/>
      <c r="H254" s="104"/>
    </row>
    <row r="255" spans="2:8">
      <c r="B255" s="104"/>
      <c r="C255" s="104"/>
      <c r="D255" s="104"/>
      <c r="E255" s="104"/>
      <c r="F255" s="104"/>
      <c r="G255" s="104"/>
      <c r="H255" s="104"/>
    </row>
    <row r="256" spans="2:8">
      <c r="B256" s="104"/>
      <c r="C256" s="104"/>
      <c r="D256" s="104"/>
      <c r="E256" s="104"/>
      <c r="F256" s="104"/>
      <c r="G256" s="104"/>
      <c r="H256" s="104"/>
    </row>
    <row r="257" spans="2:8">
      <c r="B257" s="104"/>
      <c r="C257" s="104"/>
      <c r="D257" s="104"/>
      <c r="E257" s="104"/>
      <c r="F257" s="104"/>
      <c r="G257" s="104"/>
      <c r="H257" s="104"/>
    </row>
    <row r="258" spans="2:8">
      <c r="B258" s="104"/>
      <c r="C258" s="104"/>
      <c r="D258" s="104"/>
      <c r="E258" s="104"/>
      <c r="F258" s="104"/>
      <c r="G258" s="104"/>
      <c r="H258" s="104"/>
    </row>
    <row r="259" spans="2:8">
      <c r="B259" s="104"/>
      <c r="C259" s="104"/>
      <c r="D259" s="104"/>
      <c r="E259" s="104"/>
      <c r="F259" s="104"/>
      <c r="G259" s="104"/>
      <c r="H259" s="104"/>
    </row>
    <row r="260" spans="2:8">
      <c r="B260" s="104"/>
      <c r="C260" s="104"/>
      <c r="D260" s="104"/>
      <c r="E260" s="104"/>
      <c r="F260" s="104"/>
      <c r="G260" s="104"/>
      <c r="H260" s="104"/>
    </row>
    <row r="261" spans="2:8">
      <c r="B261" s="104"/>
      <c r="C261" s="104"/>
      <c r="D261" s="104"/>
      <c r="E261" s="104"/>
      <c r="F261" s="104"/>
      <c r="G261" s="104"/>
      <c r="H261" s="104"/>
    </row>
    <row r="262" spans="2:8">
      <c r="B262" s="104"/>
      <c r="C262" s="104"/>
      <c r="D262" s="104"/>
      <c r="E262" s="104"/>
      <c r="F262" s="104"/>
      <c r="G262" s="104"/>
      <c r="H262" s="104"/>
    </row>
    <row r="263" spans="2:8">
      <c r="B263" s="104"/>
      <c r="C263" s="104"/>
      <c r="D263" s="104"/>
      <c r="E263" s="104"/>
      <c r="F263" s="104"/>
      <c r="G263" s="104"/>
      <c r="H263" s="104"/>
    </row>
    <row r="264" spans="2:8">
      <c r="B264" s="104"/>
      <c r="C264" s="104"/>
      <c r="D264" s="104"/>
      <c r="E264" s="104"/>
      <c r="F264" s="104"/>
      <c r="G264" s="104"/>
      <c r="H264" s="104"/>
    </row>
    <row r="265" spans="2:8">
      <c r="B265" s="104"/>
      <c r="C265" s="104"/>
      <c r="D265" s="104"/>
      <c r="E265" s="104"/>
      <c r="F265" s="104"/>
      <c r="G265" s="104"/>
      <c r="H265" s="104"/>
    </row>
    <row r="266" spans="2:8">
      <c r="B266" s="104"/>
      <c r="C266" s="104"/>
      <c r="D266" s="104"/>
      <c r="E266" s="104"/>
      <c r="F266" s="104"/>
      <c r="G266" s="104"/>
      <c r="H266" s="104"/>
    </row>
    <row r="267" spans="2:8">
      <c r="B267" s="104"/>
      <c r="C267" s="104"/>
      <c r="D267" s="104"/>
      <c r="E267" s="104"/>
      <c r="F267" s="104"/>
      <c r="G267" s="104"/>
      <c r="H267" s="104"/>
    </row>
    <row r="268" spans="2:8">
      <c r="B268" s="104"/>
      <c r="C268" s="104"/>
      <c r="D268" s="104"/>
      <c r="E268" s="104"/>
      <c r="F268" s="104"/>
      <c r="G268" s="104"/>
      <c r="H268" s="104"/>
    </row>
    <row r="269" spans="2:8">
      <c r="B269" s="104"/>
      <c r="C269" s="104"/>
      <c r="D269" s="104"/>
      <c r="E269" s="104"/>
      <c r="F269" s="104"/>
      <c r="G269" s="104"/>
      <c r="H269" s="104"/>
    </row>
    <row r="270" spans="2:8">
      <c r="B270" s="104"/>
      <c r="C270" s="104"/>
      <c r="D270" s="104"/>
      <c r="E270" s="104"/>
      <c r="F270" s="104"/>
      <c r="G270" s="104"/>
      <c r="H270" s="104"/>
    </row>
    <row r="271" spans="2:8">
      <c r="B271" s="104"/>
      <c r="C271" s="104"/>
      <c r="D271" s="104"/>
      <c r="E271" s="104"/>
      <c r="F271" s="104"/>
      <c r="G271" s="104"/>
      <c r="H271" s="104"/>
    </row>
    <row r="272" spans="2:8">
      <c r="B272" s="104"/>
      <c r="C272" s="104"/>
      <c r="D272" s="104"/>
      <c r="E272" s="104"/>
      <c r="F272" s="104"/>
      <c r="G272" s="104"/>
      <c r="H272" s="104"/>
    </row>
    <row r="273" spans="2:8">
      <c r="B273" s="104"/>
      <c r="C273" s="104"/>
      <c r="D273" s="104"/>
      <c r="E273" s="104"/>
      <c r="F273" s="104"/>
      <c r="G273" s="104"/>
      <c r="H273" s="104"/>
    </row>
    <row r="274" spans="2:8">
      <c r="B274" s="104"/>
      <c r="C274" s="104"/>
      <c r="D274" s="104"/>
      <c r="E274" s="104"/>
      <c r="F274" s="104"/>
      <c r="G274" s="104"/>
      <c r="H274" s="104"/>
    </row>
    <row r="275" spans="2:8">
      <c r="B275" s="104"/>
      <c r="C275" s="104"/>
      <c r="D275" s="104"/>
      <c r="E275" s="104"/>
      <c r="F275" s="104"/>
      <c r="G275" s="104"/>
      <c r="H275" s="104"/>
    </row>
    <row r="276" spans="2:8">
      <c r="B276" s="104"/>
      <c r="C276" s="104"/>
      <c r="D276" s="104"/>
      <c r="E276" s="104"/>
      <c r="F276" s="104"/>
      <c r="G276" s="104"/>
      <c r="H276" s="104"/>
    </row>
    <row r="277" spans="2:8">
      <c r="B277" s="104"/>
      <c r="C277" s="104"/>
      <c r="D277" s="104"/>
      <c r="E277" s="104"/>
      <c r="F277" s="104"/>
      <c r="G277" s="104"/>
      <c r="H277" s="104"/>
    </row>
    <row r="278" spans="2:8">
      <c r="B278" s="104"/>
      <c r="C278" s="104"/>
      <c r="D278" s="104"/>
      <c r="E278" s="104"/>
      <c r="F278" s="104"/>
      <c r="G278" s="104"/>
      <c r="H278" s="104"/>
    </row>
    <row r="279" spans="2:8">
      <c r="B279" s="104"/>
      <c r="C279" s="104"/>
      <c r="D279" s="104"/>
      <c r="E279" s="104"/>
      <c r="F279" s="104"/>
      <c r="G279" s="104"/>
      <c r="H279" s="104"/>
    </row>
    <row r="280" spans="2:8">
      <c r="B280" s="104"/>
      <c r="C280" s="104"/>
      <c r="D280" s="104"/>
      <c r="E280" s="104"/>
      <c r="F280" s="104"/>
      <c r="G280" s="104"/>
      <c r="H280" s="104"/>
    </row>
    <row r="281" spans="2:8">
      <c r="B281" s="104"/>
      <c r="C281" s="104"/>
      <c r="D281" s="104"/>
      <c r="E281" s="104"/>
      <c r="F281" s="104"/>
      <c r="G281" s="104"/>
      <c r="H281" s="104"/>
    </row>
    <row r="282" spans="2:8">
      <c r="B282" s="104"/>
      <c r="C282" s="104"/>
      <c r="D282" s="104"/>
      <c r="E282" s="104"/>
      <c r="F282" s="104"/>
      <c r="G282" s="104"/>
      <c r="H282" s="104"/>
    </row>
    <row r="283" spans="2:8">
      <c r="B283" s="104"/>
      <c r="C283" s="104"/>
      <c r="D283" s="104"/>
      <c r="E283" s="104"/>
      <c r="F283" s="104"/>
      <c r="G283" s="104"/>
      <c r="H283" s="104"/>
    </row>
    <row r="284" spans="2:8">
      <c r="B284" s="104"/>
      <c r="C284" s="104"/>
      <c r="D284" s="104"/>
      <c r="E284" s="104"/>
      <c r="F284" s="104"/>
      <c r="G284" s="104"/>
      <c r="H284" s="104"/>
    </row>
    <row r="285" spans="2:8">
      <c r="B285" s="104"/>
      <c r="C285" s="104"/>
      <c r="D285" s="104"/>
      <c r="E285" s="104"/>
      <c r="F285" s="104"/>
      <c r="G285" s="104"/>
      <c r="H285" s="104"/>
    </row>
    <row r="286" spans="2:8">
      <c r="B286" s="104"/>
      <c r="C286" s="104"/>
      <c r="D286" s="104"/>
      <c r="E286" s="104"/>
      <c r="F286" s="104"/>
      <c r="G286" s="104"/>
      <c r="H286" s="104"/>
    </row>
    <row r="287" spans="2:8">
      <c r="B287" s="104"/>
      <c r="C287" s="104"/>
      <c r="D287" s="104"/>
      <c r="E287" s="104"/>
      <c r="F287" s="104"/>
      <c r="G287" s="104"/>
      <c r="H287" s="104"/>
    </row>
    <row r="288" spans="2:8">
      <c r="B288" s="104"/>
      <c r="C288" s="104"/>
      <c r="D288" s="104"/>
      <c r="E288" s="104"/>
      <c r="F288" s="104"/>
      <c r="G288" s="104"/>
      <c r="H288" s="104"/>
    </row>
    <row r="289" spans="2:8">
      <c r="B289" s="104"/>
      <c r="C289" s="104"/>
      <c r="D289" s="104"/>
      <c r="E289" s="104"/>
      <c r="F289" s="104"/>
      <c r="G289" s="104"/>
      <c r="H289" s="104"/>
    </row>
    <row r="290" spans="2:8">
      <c r="B290" s="104"/>
      <c r="C290" s="104"/>
      <c r="D290" s="104"/>
      <c r="E290" s="104"/>
      <c r="F290" s="104"/>
      <c r="G290" s="104"/>
      <c r="H290" s="104"/>
    </row>
    <row r="291" spans="2:8">
      <c r="B291" s="104"/>
      <c r="C291" s="104"/>
      <c r="D291" s="104"/>
      <c r="E291" s="104"/>
      <c r="F291" s="104"/>
      <c r="G291" s="104"/>
      <c r="H291" s="104"/>
    </row>
    <row r="292" spans="2:8">
      <c r="B292" s="104"/>
      <c r="C292" s="104"/>
      <c r="D292" s="104"/>
      <c r="E292" s="104"/>
      <c r="F292" s="104"/>
      <c r="G292" s="104"/>
      <c r="H292" s="104"/>
    </row>
    <row r="293" spans="2:8">
      <c r="B293" s="104"/>
      <c r="C293" s="104"/>
      <c r="D293" s="104"/>
      <c r="E293" s="104"/>
      <c r="F293" s="104"/>
      <c r="G293" s="104"/>
      <c r="H293" s="104"/>
    </row>
    <row r="294" spans="2:8">
      <c r="B294" s="104"/>
      <c r="C294" s="104"/>
      <c r="D294" s="104"/>
      <c r="E294" s="104"/>
      <c r="F294" s="104"/>
      <c r="G294" s="104"/>
      <c r="H294" s="104"/>
    </row>
    <row r="295" spans="2:8">
      <c r="B295" s="104"/>
      <c r="C295" s="104"/>
      <c r="D295" s="104"/>
      <c r="E295" s="104"/>
      <c r="F295" s="104"/>
      <c r="G295" s="104"/>
      <c r="H295" s="104"/>
    </row>
    <row r="296" spans="2:8">
      <c r="B296" s="104"/>
      <c r="C296" s="104"/>
      <c r="D296" s="104"/>
      <c r="E296" s="104"/>
      <c r="F296" s="104"/>
      <c r="G296" s="104"/>
      <c r="H296" s="104"/>
    </row>
    <row r="297" spans="2:8">
      <c r="B297" s="104"/>
      <c r="C297" s="104"/>
      <c r="D297" s="104"/>
      <c r="E297" s="104"/>
      <c r="F297" s="104"/>
      <c r="G297" s="104"/>
      <c r="H297" s="104"/>
    </row>
    <row r="298" spans="2:8">
      <c r="B298" s="104"/>
      <c r="C298" s="104"/>
      <c r="D298" s="104"/>
      <c r="E298" s="104"/>
      <c r="F298" s="104"/>
      <c r="G298" s="104"/>
      <c r="H298" s="104"/>
    </row>
    <row r="299" spans="2:8">
      <c r="B299" s="104"/>
      <c r="C299" s="104"/>
      <c r="D299" s="104"/>
      <c r="E299" s="104"/>
      <c r="F299" s="104"/>
      <c r="G299" s="104"/>
      <c r="H299" s="104"/>
    </row>
    <row r="300" spans="2:8">
      <c r="B300" s="104"/>
      <c r="C300" s="104"/>
      <c r="D300" s="104"/>
      <c r="E300" s="104"/>
      <c r="F300" s="104"/>
      <c r="G300" s="104"/>
      <c r="H300" s="104"/>
    </row>
    <row r="301" spans="2:8">
      <c r="B301" s="104"/>
      <c r="C301" s="104"/>
      <c r="D301" s="104"/>
      <c r="E301" s="104"/>
      <c r="F301" s="104"/>
      <c r="G301" s="104"/>
      <c r="H301" s="104"/>
    </row>
    <row r="302" spans="2:8">
      <c r="B302" s="104"/>
      <c r="C302" s="104"/>
      <c r="D302" s="104"/>
      <c r="E302" s="104"/>
      <c r="F302" s="104"/>
      <c r="G302" s="104"/>
      <c r="H302" s="104"/>
    </row>
    <row r="303" spans="2:8">
      <c r="B303" s="104"/>
      <c r="C303" s="104"/>
      <c r="D303" s="104"/>
      <c r="E303" s="104"/>
      <c r="F303" s="104"/>
      <c r="G303" s="104"/>
      <c r="H303" s="104"/>
    </row>
    <row r="304" spans="2:8">
      <c r="B304" s="104"/>
      <c r="C304" s="104"/>
      <c r="D304" s="104"/>
      <c r="E304" s="104"/>
      <c r="F304" s="104"/>
      <c r="G304" s="104"/>
      <c r="H304" s="104"/>
    </row>
    <row r="305" spans="2:8">
      <c r="B305" s="104"/>
      <c r="C305" s="104"/>
      <c r="D305" s="104"/>
      <c r="E305" s="104"/>
      <c r="F305" s="104"/>
      <c r="G305" s="104"/>
      <c r="H305" s="104"/>
    </row>
    <row r="306" spans="2:8">
      <c r="B306" s="104"/>
      <c r="C306" s="104"/>
      <c r="D306" s="104"/>
      <c r="E306" s="104"/>
      <c r="F306" s="104"/>
      <c r="G306" s="104"/>
      <c r="H306" s="104"/>
    </row>
    <row r="307" spans="2:8">
      <c r="B307" s="104"/>
      <c r="C307" s="104"/>
      <c r="D307" s="104"/>
      <c r="E307" s="104"/>
      <c r="F307" s="104"/>
      <c r="G307" s="104"/>
      <c r="H307" s="104"/>
    </row>
    <row r="308" spans="2:8">
      <c r="B308" s="104"/>
      <c r="C308" s="104"/>
      <c r="D308" s="104"/>
      <c r="E308" s="104"/>
      <c r="F308" s="104"/>
      <c r="G308" s="104"/>
      <c r="H308" s="104"/>
    </row>
    <row r="309" spans="2:8">
      <c r="B309" s="104"/>
      <c r="C309" s="104"/>
      <c r="D309" s="104"/>
      <c r="E309" s="104"/>
      <c r="F309" s="104"/>
      <c r="G309" s="104"/>
      <c r="H309" s="104"/>
    </row>
    <row r="310" spans="2:8">
      <c r="B310" s="104"/>
      <c r="C310" s="104"/>
      <c r="D310" s="104"/>
      <c r="E310" s="104"/>
      <c r="F310" s="104"/>
      <c r="G310" s="104"/>
      <c r="H310" s="104"/>
    </row>
    <row r="311" spans="2:8">
      <c r="B311" s="104"/>
      <c r="C311" s="104"/>
      <c r="D311" s="104"/>
      <c r="E311" s="104"/>
      <c r="F311" s="104"/>
      <c r="G311" s="104"/>
      <c r="H311" s="104"/>
    </row>
    <row r="312" spans="2:8">
      <c r="B312" s="104"/>
      <c r="C312" s="104"/>
      <c r="D312" s="104"/>
      <c r="E312" s="104"/>
      <c r="F312" s="104"/>
      <c r="G312" s="104"/>
      <c r="H312" s="104"/>
    </row>
    <row r="313" spans="2:8">
      <c r="B313" s="104"/>
      <c r="C313" s="104"/>
      <c r="D313" s="104"/>
      <c r="E313" s="104"/>
      <c r="F313" s="104"/>
      <c r="G313" s="104"/>
      <c r="H313" s="104"/>
    </row>
    <row r="314" spans="2:8">
      <c r="B314" s="104"/>
      <c r="C314" s="104"/>
      <c r="D314" s="104"/>
      <c r="E314" s="104"/>
      <c r="F314" s="104"/>
      <c r="G314" s="104"/>
      <c r="H314" s="104"/>
    </row>
    <row r="315" spans="2:8">
      <c r="B315" s="104"/>
      <c r="C315" s="104"/>
      <c r="D315" s="104"/>
      <c r="E315" s="104"/>
      <c r="F315" s="104"/>
      <c r="G315" s="104"/>
      <c r="H315" s="104"/>
    </row>
    <row r="316" spans="2:8">
      <c r="B316" s="104"/>
      <c r="C316" s="104"/>
      <c r="D316" s="104"/>
      <c r="E316" s="104"/>
      <c r="F316" s="104"/>
      <c r="G316" s="104"/>
      <c r="H316" s="104"/>
    </row>
    <row r="317" spans="2:8">
      <c r="B317" s="104"/>
      <c r="C317" s="104"/>
      <c r="D317" s="104"/>
      <c r="E317" s="104"/>
      <c r="F317" s="104"/>
      <c r="G317" s="104"/>
      <c r="H317" s="104"/>
    </row>
    <row r="318" spans="2:8">
      <c r="B318" s="104"/>
      <c r="C318" s="104"/>
      <c r="D318" s="104"/>
      <c r="E318" s="104"/>
      <c r="F318" s="104"/>
      <c r="G318" s="104"/>
      <c r="H318" s="104"/>
    </row>
    <row r="319" spans="2:8">
      <c r="B319" s="104"/>
      <c r="C319" s="104"/>
      <c r="D319" s="104"/>
      <c r="E319" s="104"/>
      <c r="F319" s="104"/>
      <c r="G319" s="104"/>
      <c r="H319" s="104"/>
    </row>
    <row r="320" spans="2:8">
      <c r="B320" s="104"/>
      <c r="C320" s="104"/>
      <c r="D320" s="104"/>
      <c r="E320" s="104"/>
      <c r="F320" s="104"/>
      <c r="G320" s="104"/>
      <c r="H320" s="104"/>
    </row>
    <row r="321" spans="2:8">
      <c r="B321" s="104"/>
      <c r="C321" s="104"/>
      <c r="D321" s="104"/>
      <c r="E321" s="104"/>
      <c r="F321" s="104"/>
      <c r="G321" s="104"/>
      <c r="H321" s="104"/>
    </row>
    <row r="322" spans="2:8">
      <c r="B322" s="104"/>
      <c r="C322" s="104"/>
      <c r="D322" s="104"/>
      <c r="E322" s="104"/>
      <c r="F322" s="104"/>
      <c r="G322" s="104"/>
      <c r="H322" s="104"/>
    </row>
    <row r="323" spans="2:8">
      <c r="B323" s="104"/>
      <c r="C323" s="104"/>
      <c r="D323" s="104"/>
      <c r="E323" s="104"/>
      <c r="F323" s="104"/>
      <c r="G323" s="104"/>
      <c r="H323" s="104"/>
    </row>
    <row r="324" spans="2:8">
      <c r="B324" s="104"/>
      <c r="C324" s="104"/>
      <c r="D324" s="104"/>
      <c r="E324" s="104"/>
      <c r="F324" s="104"/>
      <c r="G324" s="104"/>
      <c r="H324" s="104"/>
    </row>
    <row r="325" spans="2:8">
      <c r="B325" s="104"/>
      <c r="C325" s="104"/>
      <c r="D325" s="104"/>
      <c r="E325" s="104"/>
      <c r="F325" s="104"/>
      <c r="G325" s="104"/>
      <c r="H325" s="104"/>
    </row>
    <row r="326" spans="2:8">
      <c r="B326" s="104"/>
      <c r="C326" s="104"/>
      <c r="D326" s="104"/>
      <c r="E326" s="104"/>
      <c r="F326" s="104"/>
      <c r="G326" s="104"/>
      <c r="H326" s="104"/>
    </row>
    <row r="327" spans="2:8">
      <c r="B327" s="104"/>
      <c r="C327" s="104"/>
      <c r="D327" s="104"/>
      <c r="E327" s="104"/>
      <c r="F327" s="104"/>
      <c r="G327" s="104"/>
      <c r="H327" s="104"/>
    </row>
    <row r="328" spans="2:8">
      <c r="B328" s="104"/>
      <c r="C328" s="104"/>
      <c r="D328" s="104"/>
      <c r="E328" s="104"/>
      <c r="F328" s="104"/>
      <c r="G328" s="104"/>
      <c r="H328" s="104"/>
    </row>
    <row r="329" spans="2:8">
      <c r="B329" s="104"/>
      <c r="C329" s="104"/>
      <c r="D329" s="104"/>
      <c r="E329" s="104"/>
      <c r="F329" s="104"/>
      <c r="G329" s="104"/>
      <c r="H329" s="104"/>
    </row>
    <row r="330" spans="2:8">
      <c r="B330" s="104"/>
      <c r="C330" s="104"/>
      <c r="D330" s="104"/>
      <c r="E330" s="104"/>
      <c r="F330" s="104"/>
      <c r="G330" s="104"/>
      <c r="H330" s="104"/>
    </row>
    <row r="331" spans="2:8">
      <c r="B331" s="104"/>
      <c r="C331" s="104"/>
      <c r="D331" s="104"/>
      <c r="E331" s="104"/>
      <c r="F331" s="104"/>
      <c r="G331" s="104"/>
      <c r="H331" s="104"/>
    </row>
    <row r="332" spans="2:8">
      <c r="B332" s="104"/>
      <c r="C332" s="104"/>
      <c r="D332" s="104"/>
      <c r="E332" s="104"/>
      <c r="F332" s="104"/>
      <c r="G332" s="104"/>
      <c r="H332" s="104"/>
    </row>
    <row r="333" spans="2:8">
      <c r="B333" s="104"/>
      <c r="C333" s="104"/>
      <c r="D333" s="104"/>
      <c r="E333" s="104"/>
      <c r="F333" s="104"/>
      <c r="G333" s="104"/>
      <c r="H333" s="104"/>
    </row>
    <row r="334" spans="2:8">
      <c r="B334" s="104"/>
      <c r="C334" s="104"/>
      <c r="D334" s="104"/>
      <c r="E334" s="104"/>
      <c r="F334" s="104"/>
      <c r="G334" s="104"/>
      <c r="H334" s="104"/>
    </row>
    <row r="335" spans="2:8">
      <c r="B335" s="104"/>
      <c r="C335" s="104"/>
      <c r="D335" s="104"/>
      <c r="E335" s="104"/>
      <c r="F335" s="104"/>
      <c r="G335" s="104"/>
      <c r="H335" s="104"/>
    </row>
    <row r="336" spans="2:8">
      <c r="B336" s="104"/>
      <c r="C336" s="104"/>
      <c r="D336" s="104"/>
      <c r="E336" s="104"/>
      <c r="F336" s="104"/>
      <c r="G336" s="104"/>
      <c r="H336" s="104"/>
    </row>
    <row r="337" spans="2:8">
      <c r="B337" s="104"/>
      <c r="C337" s="104"/>
      <c r="D337" s="104"/>
      <c r="E337" s="104"/>
      <c r="F337" s="104"/>
      <c r="G337" s="104"/>
      <c r="H337" s="104"/>
    </row>
    <row r="338" spans="2:8">
      <c r="B338" s="104"/>
      <c r="C338" s="104"/>
      <c r="D338" s="104"/>
      <c r="E338" s="104"/>
      <c r="F338" s="104"/>
      <c r="G338" s="104"/>
      <c r="H338" s="104"/>
    </row>
    <row r="339" spans="2:8">
      <c r="B339" s="104"/>
      <c r="C339" s="104"/>
      <c r="D339" s="104"/>
      <c r="E339" s="104"/>
      <c r="F339" s="104"/>
      <c r="G339" s="104"/>
      <c r="H339" s="104"/>
    </row>
    <row r="340" spans="2:8">
      <c r="B340" s="104"/>
      <c r="C340" s="104"/>
      <c r="D340" s="104"/>
      <c r="E340" s="104"/>
      <c r="F340" s="104"/>
      <c r="G340" s="104"/>
      <c r="H340" s="104"/>
    </row>
    <row r="341" spans="2:8">
      <c r="B341" s="104"/>
      <c r="C341" s="104"/>
      <c r="D341" s="104"/>
      <c r="E341" s="104"/>
      <c r="F341" s="104"/>
      <c r="G341" s="104"/>
      <c r="H341" s="104"/>
    </row>
    <row r="342" spans="2:8">
      <c r="B342" s="104"/>
      <c r="C342" s="104"/>
      <c r="D342" s="104"/>
      <c r="E342" s="104"/>
      <c r="F342" s="104"/>
      <c r="G342" s="104"/>
      <c r="H342" s="104"/>
    </row>
    <row r="343" spans="2:8">
      <c r="B343" s="104"/>
      <c r="C343" s="104"/>
      <c r="D343" s="104"/>
      <c r="E343" s="104"/>
      <c r="F343" s="104"/>
      <c r="G343" s="104"/>
      <c r="H343" s="104"/>
    </row>
    <row r="344" spans="2:8">
      <c r="B344" s="104"/>
      <c r="C344" s="104"/>
      <c r="D344" s="104"/>
      <c r="E344" s="104"/>
      <c r="F344" s="104"/>
      <c r="G344" s="104"/>
      <c r="H344" s="104"/>
    </row>
    <row r="345" spans="2:8">
      <c r="B345" s="104"/>
      <c r="C345" s="104"/>
      <c r="D345" s="104"/>
      <c r="E345" s="104"/>
      <c r="F345" s="104"/>
      <c r="G345" s="104"/>
      <c r="H345" s="104"/>
    </row>
    <row r="346" spans="2:8">
      <c r="B346" s="104"/>
      <c r="C346" s="104"/>
      <c r="D346" s="104"/>
      <c r="E346" s="104"/>
      <c r="F346" s="104"/>
      <c r="G346" s="104"/>
      <c r="H346" s="104"/>
    </row>
    <row r="347" spans="2:8">
      <c r="B347" s="104"/>
      <c r="C347" s="104"/>
      <c r="D347" s="104"/>
      <c r="E347" s="104"/>
      <c r="F347" s="104"/>
      <c r="G347" s="104"/>
      <c r="H347" s="104"/>
    </row>
    <row r="348" spans="2:8">
      <c r="B348" s="104"/>
      <c r="C348" s="104"/>
      <c r="D348" s="104"/>
      <c r="E348" s="104"/>
      <c r="F348" s="104"/>
      <c r="G348" s="104"/>
      <c r="H348" s="104"/>
    </row>
    <row r="349" spans="2:8">
      <c r="B349" s="104"/>
      <c r="C349" s="104"/>
      <c r="D349" s="104"/>
      <c r="E349" s="104"/>
      <c r="F349" s="104"/>
      <c r="G349" s="104"/>
      <c r="H349" s="104"/>
    </row>
    <row r="350" spans="2:8">
      <c r="B350" s="104"/>
      <c r="C350" s="104"/>
      <c r="D350" s="104"/>
      <c r="E350" s="104"/>
      <c r="F350" s="104"/>
      <c r="G350" s="104"/>
      <c r="H350" s="104"/>
    </row>
    <row r="351" spans="2:8">
      <c r="B351" s="104"/>
      <c r="C351" s="104"/>
      <c r="D351" s="104"/>
      <c r="E351" s="104"/>
      <c r="F351" s="104"/>
      <c r="G351" s="104"/>
      <c r="H351" s="104"/>
    </row>
    <row r="352" spans="2:8">
      <c r="B352" s="104"/>
      <c r="C352" s="104"/>
      <c r="D352" s="104"/>
      <c r="E352" s="104"/>
      <c r="F352" s="104"/>
      <c r="G352" s="104"/>
      <c r="H352" s="104"/>
    </row>
    <row r="353" spans="2:8">
      <c r="B353" s="104"/>
      <c r="C353" s="104"/>
      <c r="D353" s="104"/>
      <c r="E353" s="104"/>
      <c r="F353" s="104"/>
      <c r="G353" s="104"/>
      <c r="H353" s="104"/>
    </row>
    <row r="354" spans="2:8">
      <c r="B354" s="104"/>
      <c r="C354" s="104"/>
      <c r="D354" s="104"/>
      <c r="E354" s="104"/>
      <c r="F354" s="104"/>
      <c r="G354" s="104"/>
      <c r="H354" s="104"/>
    </row>
    <row r="355" spans="2:8">
      <c r="B355" s="104"/>
      <c r="C355" s="104"/>
      <c r="D355" s="104"/>
      <c r="E355" s="104"/>
      <c r="F355" s="104"/>
      <c r="G355" s="104"/>
      <c r="H355" s="104"/>
    </row>
    <row r="356" spans="2:8">
      <c r="B356" s="104"/>
      <c r="C356" s="104"/>
      <c r="D356" s="104"/>
      <c r="E356" s="104"/>
      <c r="F356" s="104"/>
      <c r="G356" s="104"/>
      <c r="H356" s="104"/>
    </row>
    <row r="357" spans="2:8">
      <c r="B357" s="104"/>
      <c r="C357" s="104"/>
      <c r="D357" s="104"/>
      <c r="E357" s="104"/>
      <c r="F357" s="104"/>
      <c r="G357" s="104"/>
      <c r="H357" s="104"/>
    </row>
    <row r="358" spans="2:8">
      <c r="B358" s="104"/>
      <c r="C358" s="104"/>
      <c r="D358" s="104"/>
      <c r="E358" s="104"/>
      <c r="F358" s="104"/>
      <c r="G358" s="104"/>
      <c r="H358" s="104"/>
    </row>
    <row r="359" spans="2:8">
      <c r="B359" s="104"/>
      <c r="C359" s="104"/>
      <c r="D359" s="104"/>
      <c r="E359" s="104"/>
      <c r="F359" s="104"/>
      <c r="G359" s="104"/>
      <c r="H359" s="104"/>
    </row>
    <row r="360" spans="2:8">
      <c r="B360" s="104"/>
      <c r="C360" s="104"/>
      <c r="D360" s="104"/>
      <c r="E360" s="104"/>
      <c r="F360" s="104"/>
      <c r="G360" s="104"/>
      <c r="H360" s="104"/>
    </row>
    <row r="361" spans="2:8">
      <c r="B361" s="104"/>
      <c r="C361" s="104"/>
      <c r="D361" s="104"/>
      <c r="E361" s="104"/>
      <c r="F361" s="104"/>
      <c r="G361" s="104"/>
      <c r="H361" s="104"/>
    </row>
    <row r="362" spans="2:8">
      <c r="B362" s="104"/>
      <c r="C362" s="104"/>
      <c r="D362" s="104"/>
      <c r="E362" s="104"/>
      <c r="F362" s="104"/>
      <c r="G362" s="104"/>
      <c r="H362" s="104"/>
    </row>
    <row r="363" spans="2:8">
      <c r="B363" s="104"/>
      <c r="C363" s="104"/>
      <c r="D363" s="104"/>
      <c r="E363" s="104"/>
      <c r="F363" s="104"/>
      <c r="G363" s="104"/>
      <c r="H363" s="104"/>
    </row>
    <row r="364" spans="2:8">
      <c r="B364" s="104"/>
      <c r="C364" s="104"/>
      <c r="D364" s="104"/>
      <c r="E364" s="104"/>
      <c r="F364" s="104"/>
      <c r="G364" s="104"/>
      <c r="H364" s="104"/>
    </row>
    <row r="365" spans="2:8">
      <c r="B365" s="104"/>
      <c r="C365" s="104"/>
      <c r="D365" s="104"/>
      <c r="E365" s="104"/>
      <c r="F365" s="104"/>
      <c r="G365" s="104"/>
      <c r="H365" s="104"/>
    </row>
    <row r="366" spans="2:8">
      <c r="B366" s="104"/>
      <c r="C366" s="104"/>
      <c r="D366" s="104"/>
      <c r="E366" s="104"/>
      <c r="F366" s="104"/>
      <c r="G366" s="104"/>
      <c r="H366" s="104"/>
    </row>
    <row r="367" spans="2:8">
      <c r="B367" s="104"/>
      <c r="C367" s="104"/>
      <c r="D367" s="104"/>
      <c r="E367" s="104"/>
      <c r="F367" s="104"/>
      <c r="G367" s="104"/>
      <c r="H367" s="104"/>
    </row>
    <row r="368" spans="2:8">
      <c r="B368" s="104"/>
      <c r="C368" s="104"/>
      <c r="D368" s="104"/>
      <c r="E368" s="104"/>
      <c r="F368" s="104"/>
      <c r="G368" s="104"/>
      <c r="H368" s="104"/>
    </row>
    <row r="369" spans="2:8">
      <c r="B369" s="104"/>
      <c r="C369" s="104"/>
      <c r="D369" s="104"/>
      <c r="E369" s="104"/>
      <c r="F369" s="104"/>
      <c r="G369" s="104"/>
      <c r="H369" s="104"/>
    </row>
    <row r="370" spans="2:8">
      <c r="B370" s="104"/>
      <c r="C370" s="104"/>
      <c r="D370" s="104"/>
      <c r="E370" s="104"/>
      <c r="F370" s="104"/>
      <c r="G370" s="104"/>
      <c r="H370" s="104"/>
    </row>
    <row r="371" spans="2:8">
      <c r="B371" s="104"/>
      <c r="C371" s="104"/>
      <c r="D371" s="104"/>
      <c r="E371" s="104"/>
      <c r="F371" s="104"/>
      <c r="G371" s="104"/>
      <c r="H371" s="104"/>
    </row>
    <row r="372" spans="2:8">
      <c r="B372" s="104"/>
      <c r="C372" s="104"/>
      <c r="D372" s="104"/>
      <c r="E372" s="104"/>
      <c r="F372" s="104"/>
      <c r="G372" s="104"/>
      <c r="H372" s="104"/>
    </row>
    <row r="373" spans="2:8">
      <c r="B373" s="104"/>
      <c r="C373" s="104"/>
      <c r="D373" s="104"/>
      <c r="E373" s="104"/>
      <c r="F373" s="104"/>
      <c r="G373" s="104"/>
      <c r="H373" s="104"/>
    </row>
    <row r="374" spans="2:8">
      <c r="B374" s="104"/>
      <c r="C374" s="104"/>
      <c r="D374" s="104"/>
      <c r="E374" s="104"/>
      <c r="F374" s="104"/>
      <c r="G374" s="104"/>
      <c r="H374" s="104"/>
    </row>
    <row r="375" spans="2:8">
      <c r="B375" s="104"/>
      <c r="C375" s="104"/>
      <c r="D375" s="104"/>
      <c r="E375" s="104"/>
      <c r="F375" s="104"/>
      <c r="G375" s="104"/>
      <c r="H375" s="104"/>
    </row>
    <row r="376" spans="2:8">
      <c r="B376" s="104"/>
      <c r="C376" s="104"/>
      <c r="D376" s="104"/>
      <c r="E376" s="104"/>
      <c r="F376" s="104"/>
      <c r="G376" s="104"/>
      <c r="H376" s="104"/>
    </row>
    <row r="377" spans="2:8">
      <c r="B377" s="104"/>
      <c r="C377" s="104"/>
      <c r="D377" s="104"/>
      <c r="E377" s="104"/>
      <c r="F377" s="104"/>
      <c r="G377" s="104"/>
      <c r="H377" s="104"/>
    </row>
    <row r="378" spans="2:8">
      <c r="B378" s="104"/>
      <c r="C378" s="104"/>
      <c r="D378" s="104"/>
      <c r="E378" s="104"/>
      <c r="F378" s="104"/>
      <c r="G378" s="104"/>
      <c r="H378" s="104"/>
    </row>
    <row r="379" spans="2:8">
      <c r="B379" s="104"/>
      <c r="C379" s="104"/>
      <c r="D379" s="104"/>
      <c r="E379" s="104"/>
      <c r="F379" s="104"/>
      <c r="G379" s="104"/>
      <c r="H379" s="104"/>
    </row>
    <row r="380" spans="2:8">
      <c r="B380" s="104"/>
      <c r="C380" s="104"/>
      <c r="D380" s="104"/>
      <c r="E380" s="104"/>
      <c r="F380" s="104"/>
      <c r="G380" s="104"/>
      <c r="H380" s="104"/>
    </row>
    <row r="381" spans="2:8">
      <c r="B381" s="104"/>
      <c r="C381" s="104"/>
      <c r="D381" s="104"/>
      <c r="E381" s="104"/>
      <c r="F381" s="104"/>
      <c r="G381" s="104"/>
      <c r="H381" s="104"/>
    </row>
    <row r="382" spans="2:8">
      <c r="B382" s="104"/>
      <c r="C382" s="104"/>
      <c r="D382" s="104"/>
      <c r="E382" s="104"/>
      <c r="F382" s="104"/>
      <c r="G382" s="104"/>
      <c r="H382" s="104"/>
    </row>
    <row r="383" spans="2:8">
      <c r="B383" s="104"/>
      <c r="C383" s="104"/>
      <c r="D383" s="104"/>
      <c r="E383" s="104"/>
      <c r="F383" s="104"/>
      <c r="G383" s="104"/>
      <c r="H383" s="104"/>
    </row>
    <row r="384" spans="2:8">
      <c r="B384" s="104"/>
      <c r="C384" s="104"/>
      <c r="D384" s="104"/>
      <c r="E384" s="104"/>
      <c r="F384" s="104"/>
      <c r="G384" s="104"/>
      <c r="H384" s="104"/>
    </row>
    <row r="385" spans="2:8">
      <c r="B385" s="104"/>
      <c r="C385" s="104"/>
      <c r="D385" s="104"/>
      <c r="E385" s="104"/>
      <c r="F385" s="104"/>
      <c r="G385" s="104"/>
      <c r="H385" s="104"/>
    </row>
    <row r="386" spans="2:8">
      <c r="B386" s="104"/>
      <c r="C386" s="104"/>
      <c r="D386" s="104"/>
      <c r="E386" s="104"/>
      <c r="F386" s="104"/>
      <c r="G386" s="104"/>
      <c r="H386" s="104"/>
    </row>
    <row r="387" spans="2:8">
      <c r="B387" s="104"/>
      <c r="C387" s="104"/>
      <c r="D387" s="104"/>
      <c r="E387" s="104"/>
      <c r="F387" s="104"/>
      <c r="G387" s="104"/>
      <c r="H387" s="104"/>
    </row>
    <row r="388" spans="2:8">
      <c r="B388" s="104"/>
      <c r="C388" s="104"/>
      <c r="D388" s="104"/>
      <c r="E388" s="104"/>
      <c r="F388" s="104"/>
      <c r="G388" s="104"/>
      <c r="H388" s="104"/>
    </row>
    <row r="389" spans="2:8">
      <c r="B389" s="104"/>
      <c r="C389" s="104"/>
      <c r="D389" s="104"/>
      <c r="E389" s="104"/>
      <c r="F389" s="104"/>
      <c r="G389" s="104"/>
      <c r="H389" s="104"/>
    </row>
    <row r="390" spans="2:8">
      <c r="B390" s="104"/>
      <c r="C390" s="104"/>
      <c r="D390" s="104"/>
      <c r="E390" s="104"/>
      <c r="F390" s="104"/>
      <c r="G390" s="104"/>
      <c r="H390" s="104"/>
    </row>
    <row r="391" spans="2:8">
      <c r="B391" s="104"/>
      <c r="C391" s="104"/>
      <c r="D391" s="104"/>
      <c r="E391" s="104"/>
      <c r="F391" s="104"/>
      <c r="G391" s="104"/>
      <c r="H391" s="104"/>
    </row>
    <row r="392" spans="2:8">
      <c r="B392" s="104"/>
      <c r="C392" s="104"/>
      <c r="D392" s="104"/>
      <c r="E392" s="104"/>
      <c r="F392" s="104"/>
      <c r="G392" s="104"/>
      <c r="H392" s="104"/>
    </row>
    <row r="393" spans="2:8">
      <c r="B393" s="104"/>
      <c r="C393" s="104"/>
      <c r="D393" s="104"/>
      <c r="E393" s="104"/>
      <c r="F393" s="104"/>
      <c r="G393" s="104"/>
      <c r="H393" s="104"/>
    </row>
    <row r="394" spans="2:8">
      <c r="B394" s="104"/>
      <c r="C394" s="104"/>
      <c r="D394" s="104"/>
      <c r="E394" s="104"/>
      <c r="F394" s="104"/>
      <c r="G394" s="104"/>
      <c r="H394" s="104"/>
    </row>
    <row r="395" spans="2:8">
      <c r="B395" s="104"/>
      <c r="C395" s="104"/>
      <c r="D395" s="104"/>
      <c r="E395" s="104"/>
      <c r="F395" s="104"/>
      <c r="G395" s="104"/>
      <c r="H395" s="104"/>
    </row>
    <row r="396" spans="2:8">
      <c r="B396" s="104"/>
      <c r="C396" s="104"/>
      <c r="D396" s="104"/>
      <c r="E396" s="104"/>
      <c r="F396" s="104"/>
      <c r="G396" s="104"/>
      <c r="H396" s="104"/>
    </row>
    <row r="397" spans="2:8">
      <c r="B397" s="104"/>
      <c r="C397" s="104"/>
      <c r="D397" s="104"/>
      <c r="E397" s="104"/>
      <c r="F397" s="104"/>
      <c r="G397" s="104"/>
      <c r="H397" s="104"/>
    </row>
    <row r="398" spans="2:8">
      <c r="B398" s="104"/>
      <c r="C398" s="104"/>
      <c r="D398" s="104"/>
      <c r="E398" s="104"/>
      <c r="F398" s="104"/>
      <c r="G398" s="104"/>
      <c r="H398" s="104"/>
    </row>
    <row r="399" spans="2:8">
      <c r="B399" s="104"/>
      <c r="C399" s="104"/>
      <c r="D399" s="104"/>
      <c r="E399" s="104"/>
      <c r="F399" s="104"/>
      <c r="G399" s="104"/>
      <c r="H399" s="104"/>
    </row>
    <row r="400" spans="2:8">
      <c r="B400" s="104"/>
      <c r="C400" s="104"/>
      <c r="D400" s="104"/>
      <c r="E400" s="104"/>
      <c r="F400" s="104"/>
      <c r="G400" s="104"/>
      <c r="H400" s="104"/>
    </row>
    <row r="401" spans="2:8">
      <c r="B401" s="104"/>
      <c r="C401" s="104"/>
      <c r="D401" s="104"/>
      <c r="E401" s="104"/>
      <c r="F401" s="104"/>
      <c r="G401" s="104"/>
      <c r="H401" s="104"/>
    </row>
    <row r="402" spans="2:8">
      <c r="B402" s="104"/>
      <c r="C402" s="104"/>
      <c r="D402" s="104"/>
      <c r="E402" s="104"/>
      <c r="F402" s="104"/>
      <c r="G402" s="104"/>
      <c r="H402" s="104"/>
    </row>
    <row r="403" spans="2:8">
      <c r="B403" s="104"/>
      <c r="C403" s="104"/>
      <c r="D403" s="104"/>
      <c r="E403" s="104"/>
      <c r="F403" s="104"/>
      <c r="G403" s="104"/>
      <c r="H403" s="104"/>
    </row>
    <row r="404" spans="2:8">
      <c r="B404" s="104"/>
      <c r="C404" s="104"/>
      <c r="D404" s="104"/>
      <c r="E404" s="104"/>
      <c r="F404" s="104"/>
      <c r="G404" s="104"/>
      <c r="H404" s="104"/>
    </row>
    <row r="405" spans="2:8">
      <c r="B405" s="104"/>
      <c r="C405" s="104"/>
      <c r="D405" s="104"/>
      <c r="E405" s="104"/>
      <c r="F405" s="104"/>
      <c r="G405" s="104"/>
      <c r="H405" s="104"/>
    </row>
    <row r="406" spans="2:8">
      <c r="B406" s="104"/>
      <c r="C406" s="104"/>
      <c r="D406" s="104"/>
      <c r="E406" s="104"/>
      <c r="F406" s="104"/>
      <c r="G406" s="104"/>
      <c r="H406" s="104"/>
    </row>
    <row r="407" spans="2:8">
      <c r="B407" s="104"/>
      <c r="C407" s="104"/>
      <c r="D407" s="104"/>
      <c r="E407" s="104"/>
      <c r="F407" s="104"/>
      <c r="G407" s="104"/>
      <c r="H407" s="104"/>
    </row>
    <row r="408" spans="2:8">
      <c r="B408" s="104"/>
      <c r="C408" s="104"/>
      <c r="D408" s="104"/>
      <c r="E408" s="104"/>
      <c r="F408" s="104"/>
      <c r="G408" s="104"/>
      <c r="H408" s="104"/>
    </row>
    <row r="409" spans="2:8">
      <c r="B409" s="104"/>
      <c r="C409" s="104"/>
      <c r="D409" s="104"/>
      <c r="E409" s="104"/>
      <c r="F409" s="104"/>
      <c r="G409" s="104"/>
      <c r="H409" s="104"/>
    </row>
    <row r="410" spans="2:8">
      <c r="B410" s="104"/>
      <c r="C410" s="104"/>
      <c r="D410" s="104"/>
      <c r="E410" s="104"/>
      <c r="F410" s="104"/>
      <c r="G410" s="104"/>
      <c r="H410" s="104"/>
    </row>
    <row r="411" spans="2:8">
      <c r="B411" s="104"/>
      <c r="C411" s="104"/>
      <c r="D411" s="104"/>
      <c r="E411" s="104"/>
      <c r="F411" s="104"/>
      <c r="G411" s="104"/>
      <c r="H411" s="104"/>
    </row>
    <row r="412" spans="2:8">
      <c r="B412" s="104"/>
      <c r="C412" s="104"/>
      <c r="D412" s="104"/>
      <c r="E412" s="104"/>
      <c r="F412" s="104"/>
      <c r="G412" s="104"/>
      <c r="H412" s="104"/>
    </row>
    <row r="413" spans="2:8">
      <c r="B413" s="104"/>
      <c r="C413" s="104"/>
      <c r="D413" s="104"/>
      <c r="E413" s="104"/>
      <c r="F413" s="104"/>
      <c r="G413" s="104"/>
      <c r="H413" s="104"/>
    </row>
    <row r="414" spans="2:8">
      <c r="B414" s="104"/>
      <c r="C414" s="104"/>
      <c r="D414" s="104"/>
      <c r="E414" s="104"/>
      <c r="F414" s="104"/>
      <c r="G414" s="104"/>
      <c r="H414" s="104"/>
    </row>
    <row r="415" spans="2:8">
      <c r="B415" s="104"/>
      <c r="C415" s="104"/>
      <c r="D415" s="104"/>
      <c r="E415" s="104"/>
      <c r="F415" s="104"/>
      <c r="G415" s="104"/>
      <c r="H415" s="104"/>
    </row>
    <row r="416" spans="2:8">
      <c r="B416" s="104"/>
      <c r="C416" s="104"/>
      <c r="D416" s="104"/>
      <c r="E416" s="104"/>
      <c r="F416" s="104"/>
      <c r="G416" s="104"/>
      <c r="H416" s="104"/>
    </row>
    <row r="417" spans="2:8">
      <c r="B417" s="104"/>
      <c r="C417" s="104"/>
      <c r="D417" s="104"/>
      <c r="E417" s="104"/>
      <c r="F417" s="104"/>
      <c r="G417" s="104"/>
      <c r="H417" s="104"/>
    </row>
    <row r="418" spans="2:8">
      <c r="B418" s="104"/>
      <c r="C418" s="104"/>
      <c r="D418" s="104"/>
      <c r="E418" s="104"/>
      <c r="F418" s="104"/>
      <c r="G418" s="104"/>
      <c r="H418" s="104"/>
    </row>
    <row r="419" spans="2:8">
      <c r="B419" s="104"/>
      <c r="C419" s="104"/>
      <c r="D419" s="104"/>
      <c r="E419" s="104"/>
      <c r="F419" s="104"/>
      <c r="G419" s="104"/>
      <c r="H419" s="104"/>
    </row>
    <row r="420" spans="2:8">
      <c r="B420" s="104"/>
      <c r="C420" s="104"/>
      <c r="D420" s="104"/>
      <c r="E420" s="104"/>
      <c r="F420" s="104"/>
      <c r="G420" s="104"/>
      <c r="H420" s="104"/>
    </row>
    <row r="421" spans="2:8">
      <c r="B421" s="104"/>
      <c r="C421" s="104"/>
      <c r="D421" s="104"/>
      <c r="E421" s="104"/>
      <c r="F421" s="104"/>
      <c r="G421" s="104"/>
      <c r="H421" s="104"/>
    </row>
    <row r="422" spans="2:8">
      <c r="B422" s="104"/>
      <c r="C422" s="104"/>
      <c r="D422" s="104"/>
      <c r="E422" s="104"/>
      <c r="F422" s="104"/>
      <c r="G422" s="104"/>
      <c r="H422" s="104"/>
    </row>
    <row r="423" spans="2:8">
      <c r="B423" s="104"/>
      <c r="C423" s="104"/>
      <c r="D423" s="104"/>
      <c r="E423" s="104"/>
      <c r="F423" s="104"/>
      <c r="G423" s="104"/>
      <c r="H423" s="104"/>
    </row>
    <row r="424" spans="2:8">
      <c r="B424" s="104"/>
      <c r="C424" s="104"/>
      <c r="D424" s="104"/>
      <c r="E424" s="104"/>
      <c r="F424" s="104"/>
      <c r="G424" s="104"/>
      <c r="H424" s="104"/>
    </row>
    <row r="425" spans="2:8">
      <c r="B425" s="104"/>
      <c r="C425" s="104"/>
      <c r="D425" s="104"/>
      <c r="E425" s="104"/>
      <c r="F425" s="104"/>
      <c r="G425" s="104"/>
      <c r="H425" s="104"/>
    </row>
    <row r="426" spans="2:8">
      <c r="B426" s="104"/>
      <c r="C426" s="104"/>
      <c r="D426" s="104"/>
      <c r="E426" s="104"/>
      <c r="F426" s="104"/>
      <c r="G426" s="104"/>
      <c r="H426" s="104"/>
    </row>
    <row r="427" spans="2:8">
      <c r="B427" s="104"/>
      <c r="C427" s="104"/>
      <c r="D427" s="104"/>
      <c r="E427" s="104"/>
      <c r="F427" s="104"/>
      <c r="G427" s="104"/>
      <c r="H427" s="104"/>
    </row>
    <row r="428" spans="2:8">
      <c r="B428" s="104"/>
      <c r="C428" s="104"/>
      <c r="D428" s="104"/>
      <c r="E428" s="104"/>
      <c r="F428" s="104"/>
      <c r="G428" s="104"/>
      <c r="H428" s="104"/>
    </row>
    <row r="429" spans="2:8">
      <c r="B429" s="104"/>
      <c r="C429" s="104"/>
      <c r="D429" s="104"/>
      <c r="E429" s="104"/>
      <c r="F429" s="104"/>
      <c r="G429" s="104"/>
      <c r="H429" s="104"/>
    </row>
    <row r="430" spans="2:8">
      <c r="B430" s="104"/>
      <c r="C430" s="104"/>
      <c r="D430" s="104"/>
      <c r="E430" s="104"/>
      <c r="F430" s="104"/>
      <c r="G430" s="104"/>
      <c r="H430" s="104"/>
    </row>
    <row r="431" spans="2:8">
      <c r="B431" s="104"/>
      <c r="C431" s="104"/>
      <c r="D431" s="104"/>
      <c r="E431" s="104"/>
      <c r="F431" s="104"/>
      <c r="G431" s="104"/>
      <c r="H431" s="104"/>
    </row>
    <row r="432" spans="2:8">
      <c r="B432" s="104"/>
      <c r="C432" s="104"/>
      <c r="D432" s="104"/>
      <c r="E432" s="104"/>
      <c r="F432" s="104"/>
      <c r="G432" s="104"/>
      <c r="H432" s="104"/>
    </row>
    <row r="433" spans="2:8">
      <c r="B433" s="104"/>
      <c r="C433" s="104"/>
      <c r="D433" s="104"/>
      <c r="E433" s="104"/>
      <c r="F433" s="104"/>
      <c r="G433" s="104"/>
      <c r="H433" s="104"/>
    </row>
    <row r="434" spans="2:8">
      <c r="B434" s="104"/>
      <c r="C434" s="104"/>
      <c r="D434" s="104"/>
      <c r="E434" s="104"/>
      <c r="F434" s="104"/>
      <c r="G434" s="104"/>
      <c r="H434" s="104"/>
    </row>
    <row r="435" spans="2:8">
      <c r="B435" s="104"/>
      <c r="C435" s="104"/>
      <c r="D435" s="104"/>
      <c r="E435" s="104"/>
      <c r="F435" s="104"/>
      <c r="G435" s="104"/>
      <c r="H435" s="104"/>
    </row>
    <row r="436" spans="2:8">
      <c r="B436" s="104"/>
      <c r="C436" s="104"/>
      <c r="D436" s="104"/>
      <c r="E436" s="104"/>
      <c r="F436" s="104"/>
      <c r="G436" s="104"/>
      <c r="H436" s="104"/>
    </row>
    <row r="437" spans="2:8">
      <c r="B437" s="104"/>
      <c r="C437" s="104"/>
      <c r="D437" s="104"/>
      <c r="E437" s="104"/>
      <c r="F437" s="104"/>
      <c r="G437" s="104"/>
      <c r="H437" s="104"/>
    </row>
    <row r="438" spans="2:8">
      <c r="B438" s="104"/>
      <c r="C438" s="104"/>
      <c r="D438" s="104"/>
      <c r="E438" s="104"/>
      <c r="F438" s="104"/>
      <c r="G438" s="104"/>
      <c r="H438" s="104"/>
    </row>
    <row r="439" spans="2:8">
      <c r="B439" s="104"/>
      <c r="C439" s="104"/>
      <c r="D439" s="104"/>
      <c r="E439" s="104"/>
      <c r="F439" s="104"/>
      <c r="G439" s="104"/>
      <c r="H439" s="104"/>
    </row>
    <row r="440" spans="2:8">
      <c r="B440" s="104"/>
      <c r="C440" s="104"/>
      <c r="D440" s="104"/>
      <c r="E440" s="104"/>
      <c r="F440" s="104"/>
      <c r="G440" s="104"/>
      <c r="H440" s="104"/>
    </row>
    <row r="441" spans="2:8">
      <c r="B441" s="104"/>
      <c r="C441" s="104"/>
      <c r="D441" s="104"/>
      <c r="E441" s="104"/>
      <c r="F441" s="104"/>
      <c r="G441" s="104"/>
      <c r="H441" s="104"/>
    </row>
    <row r="442" spans="2:8">
      <c r="B442" s="104"/>
      <c r="C442" s="104"/>
      <c r="D442" s="104"/>
      <c r="E442" s="104"/>
      <c r="F442" s="104"/>
      <c r="G442" s="104"/>
      <c r="H442" s="104"/>
    </row>
    <row r="443" spans="2:8">
      <c r="B443" s="104"/>
      <c r="C443" s="104"/>
      <c r="D443" s="104"/>
      <c r="E443" s="104"/>
      <c r="F443" s="104"/>
      <c r="G443" s="104"/>
      <c r="H443" s="104"/>
    </row>
    <row r="444" spans="2:8">
      <c r="B444" s="104"/>
      <c r="C444" s="104"/>
      <c r="D444" s="104"/>
      <c r="E444" s="104"/>
      <c r="F444" s="104"/>
      <c r="G444" s="104"/>
      <c r="H444" s="104"/>
    </row>
    <row r="445" spans="2:8">
      <c r="B445" s="104"/>
      <c r="C445" s="104"/>
      <c r="D445" s="104"/>
      <c r="E445" s="104"/>
      <c r="F445" s="104"/>
      <c r="G445" s="104"/>
      <c r="H445" s="104"/>
    </row>
    <row r="446" spans="2:8">
      <c r="B446" s="104"/>
      <c r="C446" s="104"/>
      <c r="D446" s="104"/>
      <c r="E446" s="104"/>
      <c r="F446" s="104"/>
      <c r="G446" s="104"/>
      <c r="H446" s="104"/>
    </row>
    <row r="447" spans="2:8">
      <c r="B447" s="104"/>
      <c r="C447" s="104"/>
      <c r="D447" s="104"/>
      <c r="E447" s="104"/>
      <c r="F447" s="104"/>
      <c r="G447" s="104"/>
      <c r="H447" s="104"/>
    </row>
    <row r="448" spans="2:8">
      <c r="B448" s="104"/>
      <c r="C448" s="104"/>
      <c r="D448" s="104"/>
      <c r="E448" s="104"/>
      <c r="F448" s="104"/>
      <c r="G448" s="104"/>
      <c r="H448" s="104"/>
    </row>
    <row r="449" spans="2:8">
      <c r="B449" s="104"/>
      <c r="C449" s="104"/>
      <c r="D449" s="104"/>
      <c r="E449" s="104"/>
      <c r="F449" s="104"/>
      <c r="G449" s="104"/>
      <c r="H449" s="104"/>
    </row>
    <row r="450" spans="2:8">
      <c r="B450" s="104"/>
      <c r="C450" s="104"/>
      <c r="D450" s="104"/>
      <c r="E450" s="104"/>
      <c r="F450" s="104"/>
      <c r="G450" s="104"/>
      <c r="H450" s="104"/>
    </row>
    <row r="451" spans="2:8">
      <c r="B451" s="104"/>
      <c r="C451" s="104"/>
      <c r="D451" s="104"/>
      <c r="E451" s="104"/>
      <c r="F451" s="104"/>
      <c r="G451" s="104"/>
      <c r="H451" s="104"/>
    </row>
    <row r="452" spans="2:8">
      <c r="B452" s="104"/>
      <c r="C452" s="104"/>
      <c r="D452" s="104"/>
      <c r="E452" s="104"/>
      <c r="F452" s="104"/>
      <c r="G452" s="104"/>
      <c r="H452" s="104"/>
    </row>
    <row r="453" spans="2:8">
      <c r="B453" s="104"/>
      <c r="C453" s="104"/>
      <c r="D453" s="104"/>
      <c r="E453" s="104"/>
      <c r="F453" s="104"/>
      <c r="G453" s="104"/>
      <c r="H453" s="104"/>
    </row>
    <row r="454" spans="2:8">
      <c r="B454" s="104"/>
      <c r="C454" s="104"/>
      <c r="D454" s="104"/>
      <c r="E454" s="104"/>
      <c r="F454" s="104"/>
      <c r="G454" s="104"/>
      <c r="H454" s="104"/>
    </row>
    <row r="455" spans="2:8">
      <c r="B455" s="104"/>
      <c r="C455" s="104"/>
      <c r="D455" s="104"/>
      <c r="E455" s="104"/>
      <c r="F455" s="104"/>
      <c r="G455" s="104"/>
      <c r="H455" s="104"/>
    </row>
    <row r="456" spans="2:8">
      <c r="B456" s="104"/>
      <c r="C456" s="104"/>
      <c r="D456" s="104"/>
      <c r="E456" s="104"/>
      <c r="F456" s="104"/>
      <c r="G456" s="104"/>
      <c r="H456" s="104"/>
    </row>
    <row r="457" spans="2:8">
      <c r="B457" s="104"/>
      <c r="C457" s="104"/>
      <c r="D457" s="104"/>
      <c r="E457" s="104"/>
      <c r="F457" s="104"/>
      <c r="G457" s="104"/>
      <c r="H457" s="104"/>
    </row>
    <row r="458" spans="2:8">
      <c r="B458" s="104"/>
      <c r="C458" s="104"/>
      <c r="D458" s="104"/>
      <c r="E458" s="104"/>
      <c r="F458" s="104"/>
      <c r="G458" s="104"/>
      <c r="H458" s="104"/>
    </row>
    <row r="459" spans="2:8">
      <c r="B459" s="104"/>
      <c r="C459" s="104"/>
      <c r="D459" s="104"/>
      <c r="E459" s="104"/>
      <c r="F459" s="104"/>
      <c r="G459" s="104"/>
      <c r="H459" s="104"/>
    </row>
    <row r="460" spans="2:8">
      <c r="B460" s="104"/>
      <c r="C460" s="104"/>
      <c r="D460" s="104"/>
      <c r="E460" s="104"/>
      <c r="F460" s="104"/>
      <c r="G460" s="104"/>
      <c r="H460" s="104"/>
    </row>
    <row r="461" spans="2:8">
      <c r="B461" s="104"/>
      <c r="C461" s="104"/>
      <c r="D461" s="104"/>
      <c r="E461" s="104"/>
      <c r="F461" s="104"/>
      <c r="G461" s="104"/>
      <c r="H461" s="104"/>
    </row>
    <row r="462" spans="2:8">
      <c r="B462" s="104"/>
      <c r="C462" s="104"/>
      <c r="D462" s="104"/>
      <c r="E462" s="104"/>
      <c r="F462" s="104"/>
      <c r="G462" s="104"/>
      <c r="H462" s="104"/>
    </row>
    <row r="463" spans="2:8">
      <c r="B463" s="104"/>
      <c r="C463" s="104"/>
      <c r="D463" s="104"/>
      <c r="E463" s="104"/>
      <c r="F463" s="104"/>
      <c r="G463" s="104"/>
      <c r="H463" s="104"/>
    </row>
    <row r="464" spans="2:8">
      <c r="B464" s="104"/>
      <c r="C464" s="104"/>
      <c r="D464" s="104"/>
      <c r="E464" s="104"/>
      <c r="F464" s="104"/>
      <c r="G464" s="104"/>
      <c r="H464" s="104"/>
    </row>
    <row r="465" spans="2:8">
      <c r="B465" s="104"/>
      <c r="C465" s="104"/>
      <c r="D465" s="104"/>
      <c r="E465" s="104"/>
      <c r="F465" s="104"/>
      <c r="G465" s="104"/>
      <c r="H465" s="104"/>
    </row>
    <row r="466" spans="2:8">
      <c r="B466" s="104"/>
      <c r="C466" s="104"/>
      <c r="D466" s="104"/>
      <c r="E466" s="104"/>
      <c r="F466" s="104"/>
      <c r="G466" s="104"/>
      <c r="H466" s="104"/>
    </row>
    <row r="467" spans="2:8">
      <c r="B467" s="104"/>
      <c r="C467" s="104"/>
      <c r="D467" s="104"/>
      <c r="E467" s="104"/>
      <c r="F467" s="104"/>
      <c r="G467" s="104"/>
      <c r="H467" s="104"/>
    </row>
    <row r="468" spans="2:8">
      <c r="B468" s="104"/>
      <c r="C468" s="104"/>
      <c r="D468" s="104"/>
      <c r="E468" s="104"/>
      <c r="F468" s="104"/>
      <c r="G468" s="104"/>
      <c r="H468" s="104"/>
    </row>
    <row r="469" spans="2:8">
      <c r="B469" s="104"/>
      <c r="C469" s="104"/>
      <c r="D469" s="104"/>
      <c r="E469" s="104"/>
      <c r="F469" s="104"/>
      <c r="G469" s="104"/>
      <c r="H469" s="104"/>
    </row>
    <row r="470" spans="2:8">
      <c r="B470" s="104"/>
      <c r="C470" s="104"/>
      <c r="D470" s="104"/>
      <c r="E470" s="104"/>
      <c r="F470" s="104"/>
      <c r="G470" s="104"/>
      <c r="H470" s="104"/>
    </row>
    <row r="471" spans="2:8">
      <c r="B471" s="104"/>
      <c r="C471" s="104"/>
      <c r="D471" s="104"/>
      <c r="E471" s="104"/>
      <c r="F471" s="104"/>
      <c r="G471" s="104"/>
      <c r="H471" s="104"/>
    </row>
    <row r="472" spans="2:8">
      <c r="B472" s="104"/>
      <c r="C472" s="104"/>
      <c r="D472" s="104"/>
      <c r="E472" s="104"/>
      <c r="F472" s="104"/>
      <c r="G472" s="104"/>
      <c r="H472" s="104"/>
    </row>
    <row r="473" spans="2:8">
      <c r="B473" s="104"/>
      <c r="C473" s="104"/>
      <c r="D473" s="104"/>
      <c r="E473" s="104"/>
      <c r="F473" s="104"/>
      <c r="G473" s="104"/>
      <c r="H473" s="104"/>
    </row>
    <row r="474" spans="2:8">
      <c r="B474" s="104"/>
      <c r="C474" s="104"/>
      <c r="D474" s="104"/>
      <c r="E474" s="104"/>
      <c r="F474" s="104"/>
      <c r="G474" s="104"/>
      <c r="H474" s="104"/>
    </row>
    <row r="475" spans="2:8">
      <c r="B475" s="104"/>
      <c r="C475" s="104"/>
      <c r="D475" s="104"/>
      <c r="E475" s="104"/>
      <c r="F475" s="104"/>
      <c r="G475" s="104"/>
      <c r="H475" s="104"/>
    </row>
    <row r="476" spans="2:8">
      <c r="B476" s="104"/>
      <c r="C476" s="104"/>
      <c r="D476" s="104"/>
      <c r="E476" s="104"/>
      <c r="F476" s="104"/>
      <c r="G476" s="104"/>
      <c r="H476" s="104"/>
    </row>
    <row r="477" spans="2:8">
      <c r="B477" s="104"/>
      <c r="C477" s="104"/>
      <c r="D477" s="104"/>
      <c r="E477" s="104"/>
      <c r="F477" s="104"/>
      <c r="G477" s="104"/>
      <c r="H477" s="104"/>
    </row>
    <row r="478" spans="2:8">
      <c r="B478" s="104"/>
      <c r="C478" s="104"/>
      <c r="D478" s="104"/>
      <c r="E478" s="104"/>
      <c r="F478" s="104"/>
      <c r="G478" s="104"/>
      <c r="H478" s="104"/>
    </row>
    <row r="479" spans="2:8">
      <c r="B479" s="104"/>
      <c r="C479" s="104"/>
      <c r="D479" s="104"/>
      <c r="E479" s="104"/>
      <c r="F479" s="104"/>
      <c r="G479" s="104"/>
      <c r="H479" s="104"/>
    </row>
    <row r="480" spans="2:8">
      <c r="B480" s="104"/>
      <c r="C480" s="104"/>
      <c r="D480" s="104"/>
      <c r="E480" s="104"/>
      <c r="F480" s="104"/>
      <c r="G480" s="104"/>
      <c r="H480" s="104"/>
    </row>
    <row r="481" spans="2:8">
      <c r="B481" s="104"/>
      <c r="C481" s="104"/>
      <c r="D481" s="104"/>
      <c r="E481" s="104"/>
      <c r="F481" s="104"/>
      <c r="G481" s="104"/>
      <c r="H481" s="104"/>
    </row>
    <row r="482" spans="2:8">
      <c r="B482" s="104"/>
      <c r="C482" s="104"/>
      <c r="D482" s="104"/>
      <c r="E482" s="104"/>
      <c r="F482" s="104"/>
      <c r="G482" s="104"/>
      <c r="H482" s="104"/>
    </row>
    <row r="483" spans="2:8">
      <c r="B483" s="104"/>
      <c r="C483" s="104"/>
      <c r="D483" s="104"/>
      <c r="E483" s="104"/>
      <c r="F483" s="104"/>
      <c r="G483" s="104"/>
      <c r="H483" s="104"/>
    </row>
    <row r="484" spans="2:8">
      <c r="B484" s="104"/>
      <c r="C484" s="104"/>
      <c r="D484" s="104"/>
      <c r="E484" s="104"/>
      <c r="F484" s="104"/>
      <c r="G484" s="104"/>
      <c r="H484" s="104"/>
    </row>
    <row r="485" spans="2:8">
      <c r="B485" s="104"/>
      <c r="C485" s="104"/>
      <c r="D485" s="104"/>
      <c r="E485" s="104"/>
      <c r="F485" s="104"/>
      <c r="G485" s="104"/>
      <c r="H485" s="104"/>
    </row>
    <row r="486" spans="2:8">
      <c r="B486" s="104"/>
      <c r="C486" s="104"/>
      <c r="D486" s="104"/>
      <c r="E486" s="104"/>
      <c r="F486" s="104"/>
      <c r="G486" s="104"/>
      <c r="H486" s="104"/>
    </row>
    <row r="487" spans="2:8">
      <c r="B487" s="104"/>
      <c r="C487" s="104"/>
      <c r="D487" s="104"/>
      <c r="E487" s="104"/>
      <c r="F487" s="104"/>
      <c r="G487" s="104"/>
      <c r="H487" s="104"/>
    </row>
    <row r="488" spans="2:8">
      <c r="B488" s="104"/>
      <c r="C488" s="104"/>
      <c r="D488" s="104"/>
      <c r="E488" s="104"/>
      <c r="F488" s="104"/>
      <c r="G488" s="104"/>
      <c r="H488" s="104"/>
    </row>
    <row r="489" spans="2:8">
      <c r="B489" s="104"/>
      <c r="C489" s="104"/>
      <c r="D489" s="104"/>
      <c r="E489" s="104"/>
      <c r="F489" s="104"/>
      <c r="G489" s="104"/>
      <c r="H489" s="104"/>
    </row>
    <row r="490" spans="2:8">
      <c r="B490" s="104"/>
      <c r="C490" s="104"/>
      <c r="D490" s="104"/>
      <c r="E490" s="104"/>
      <c r="F490" s="104"/>
      <c r="G490" s="104"/>
      <c r="H490" s="104"/>
    </row>
    <row r="491" spans="2:8">
      <c r="B491" s="104"/>
      <c r="C491" s="104"/>
      <c r="D491" s="104"/>
      <c r="E491" s="104"/>
      <c r="F491" s="104"/>
      <c r="G491" s="104"/>
      <c r="H491" s="104"/>
    </row>
    <row r="492" spans="2:8">
      <c r="B492" s="104"/>
      <c r="C492" s="104"/>
      <c r="D492" s="104"/>
      <c r="E492" s="104"/>
      <c r="F492" s="104"/>
      <c r="G492" s="104"/>
      <c r="H492" s="104"/>
    </row>
    <row r="493" spans="2:8">
      <c r="B493" s="104"/>
      <c r="C493" s="104"/>
      <c r="D493" s="104"/>
      <c r="E493" s="104"/>
      <c r="F493" s="104"/>
      <c r="G493" s="104"/>
      <c r="H493" s="104"/>
    </row>
    <row r="494" spans="2:8">
      <c r="B494" s="104"/>
      <c r="C494" s="104"/>
      <c r="D494" s="104"/>
      <c r="E494" s="104"/>
      <c r="F494" s="104"/>
      <c r="G494" s="104"/>
      <c r="H494" s="104"/>
    </row>
    <row r="495" spans="2:8">
      <c r="B495" s="104"/>
      <c r="C495" s="104"/>
      <c r="D495" s="104"/>
      <c r="E495" s="104"/>
      <c r="F495" s="104"/>
      <c r="G495" s="104"/>
      <c r="H495" s="104"/>
    </row>
    <row r="496" spans="2:8">
      <c r="B496" s="104"/>
      <c r="C496" s="104"/>
      <c r="D496" s="104"/>
      <c r="E496" s="104"/>
      <c r="F496" s="104"/>
      <c r="G496" s="104"/>
      <c r="H496" s="104"/>
    </row>
    <row r="497" spans="2:8">
      <c r="B497" s="104"/>
      <c r="C497" s="104"/>
      <c r="D497" s="104"/>
      <c r="E497" s="104"/>
      <c r="F497" s="104"/>
      <c r="G497" s="104"/>
      <c r="H497" s="104"/>
    </row>
    <row r="498" spans="2:8">
      <c r="B498" s="104"/>
      <c r="C498" s="104"/>
      <c r="D498" s="104"/>
      <c r="E498" s="104"/>
      <c r="F498" s="104"/>
      <c r="G498" s="104"/>
      <c r="H498" s="104"/>
    </row>
    <row r="499" spans="2:8">
      <c r="B499" s="104"/>
      <c r="C499" s="104"/>
      <c r="D499" s="104"/>
      <c r="E499" s="104"/>
      <c r="F499" s="104"/>
      <c r="G499" s="104"/>
      <c r="H499" s="104"/>
    </row>
    <row r="500" spans="2:8">
      <c r="B500" s="104"/>
      <c r="C500" s="104"/>
      <c r="D500" s="104"/>
      <c r="E500" s="104"/>
      <c r="F500" s="104"/>
      <c r="G500" s="104"/>
      <c r="H500" s="104"/>
    </row>
    <row r="501" spans="2:8">
      <c r="B501" s="104"/>
      <c r="C501" s="104"/>
      <c r="D501" s="104"/>
      <c r="E501" s="104"/>
      <c r="F501" s="104"/>
      <c r="G501" s="104"/>
      <c r="H501" s="104"/>
    </row>
    <row r="502" spans="2:8">
      <c r="B502" s="104"/>
      <c r="C502" s="104"/>
      <c r="D502" s="104"/>
      <c r="E502" s="104"/>
      <c r="F502" s="104"/>
      <c r="G502" s="104"/>
      <c r="H502" s="104"/>
    </row>
    <row r="503" spans="2:8">
      <c r="B503" s="104"/>
      <c r="C503" s="104"/>
      <c r="D503" s="104"/>
      <c r="E503" s="104"/>
      <c r="F503" s="104"/>
      <c r="G503" s="104"/>
      <c r="H503" s="104"/>
    </row>
    <row r="504" spans="2:8">
      <c r="B504" s="104"/>
      <c r="C504" s="104"/>
      <c r="D504" s="104"/>
      <c r="E504" s="104"/>
      <c r="F504" s="104"/>
      <c r="G504" s="104"/>
      <c r="H504" s="104"/>
    </row>
  </sheetData>
  <mergeCells count="6">
    <mergeCell ref="D1:H3"/>
    <mergeCell ref="A4:C4"/>
    <mergeCell ref="D4:H4"/>
    <mergeCell ref="A5:C5"/>
    <mergeCell ref="D5:G5"/>
    <mergeCell ref="H5:H6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2" orientation="portrait" r:id="rId1"/>
  <headerFooter>
    <oddFooter>&amp;L&amp;"Calibri,Regular"&amp;12&amp;K184782&amp;F&amp;C&amp;"Calibri,Regular"&amp;12&amp;K184782&amp;A&amp;R&amp;"Calibri,Regular"&amp;12&amp;K184782&amp;P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6">
    <pageSetUpPr fitToPage="1"/>
  </sheetPr>
  <dimension ref="A1:H503"/>
  <sheetViews>
    <sheetView showGridLines="0" workbookViewId="0">
      <pane ySplit="2415" topLeftCell="A199" activePane="bottomLeft"/>
      <selection activeCell="H192" sqref="H192"/>
      <selection pane="bottomLeft" activeCell="J212" sqref="J212"/>
    </sheetView>
  </sheetViews>
  <sheetFormatPr defaultRowHeight="12.75"/>
  <cols>
    <col min="1" max="1" width="14" style="67" customWidth="1"/>
    <col min="2" max="2" width="13.5703125" style="67" customWidth="1"/>
    <col min="3" max="3" width="10.140625" style="67" customWidth="1"/>
    <col min="4" max="4" width="9.140625" style="67" customWidth="1"/>
    <col min="5" max="5" width="9.140625" style="67"/>
    <col min="6" max="6" width="13.5703125" style="67" bestFit="1" customWidth="1"/>
    <col min="7" max="7" width="12.85546875" style="67" bestFit="1" customWidth="1"/>
    <col min="8" max="8" width="15.7109375" style="67" customWidth="1"/>
    <col min="9" max="16384" width="9.140625" style="67"/>
  </cols>
  <sheetData>
    <row r="1" spans="1:8" ht="16.5" customHeight="1">
      <c r="B1" s="101"/>
      <c r="C1" s="101"/>
      <c r="D1" s="294" t="s">
        <v>251</v>
      </c>
      <c r="E1" s="294"/>
      <c r="F1" s="294"/>
      <c r="G1" s="294"/>
      <c r="H1" s="294"/>
    </row>
    <row r="2" spans="1:8" ht="17.25" customHeight="1">
      <c r="A2" s="101"/>
      <c r="B2" s="101"/>
      <c r="C2" s="101"/>
      <c r="D2" s="294"/>
      <c r="E2" s="294"/>
      <c r="F2" s="294"/>
      <c r="G2" s="294"/>
      <c r="H2" s="294"/>
    </row>
    <row r="3" spans="1:8" ht="21" customHeight="1" thickBot="1">
      <c r="A3" s="101"/>
      <c r="B3" s="101"/>
      <c r="C3" s="101"/>
      <c r="D3" s="306"/>
      <c r="E3" s="306"/>
      <c r="F3" s="306"/>
      <c r="G3" s="306"/>
      <c r="H3" s="306"/>
    </row>
    <row r="4" spans="1:8" s="62" customFormat="1" ht="19.5" thickBot="1">
      <c r="A4" s="307" t="s">
        <v>76</v>
      </c>
      <c r="B4" s="308"/>
      <c r="C4" s="309"/>
      <c r="D4" s="310" t="s">
        <v>61</v>
      </c>
      <c r="E4" s="311"/>
      <c r="F4" s="311"/>
      <c r="G4" s="311" t="s">
        <v>6</v>
      </c>
      <c r="H4" s="312"/>
    </row>
    <row r="5" spans="1:8" s="62" customFormat="1" ht="18" customHeight="1" thickBot="1">
      <c r="A5" s="313" t="s">
        <v>56</v>
      </c>
      <c r="B5" s="314"/>
      <c r="C5" s="315"/>
      <c r="D5" s="298" t="s">
        <v>57</v>
      </c>
      <c r="E5" s="299"/>
      <c r="F5" s="299"/>
      <c r="G5" s="300"/>
      <c r="H5" s="316" t="s">
        <v>58</v>
      </c>
    </row>
    <row r="6" spans="1:8" s="62" customFormat="1" ht="15.75" customHeight="1" thickBot="1">
      <c r="A6" s="126" t="s">
        <v>109</v>
      </c>
      <c r="B6" s="127" t="s">
        <v>93</v>
      </c>
      <c r="C6" s="127" t="s">
        <v>4</v>
      </c>
      <c r="D6" s="127" t="s">
        <v>14</v>
      </c>
      <c r="E6" s="127" t="s">
        <v>15</v>
      </c>
      <c r="F6" s="127" t="s">
        <v>16</v>
      </c>
      <c r="G6" s="127" t="s">
        <v>17</v>
      </c>
      <c r="H6" s="317"/>
    </row>
    <row r="7" spans="1:8" s="102" customFormat="1" ht="16.5" customHeight="1" thickBot="1">
      <c r="A7" s="140" t="s">
        <v>67</v>
      </c>
      <c r="B7" s="141"/>
      <c r="C7" s="141"/>
      <c r="D7" s="141"/>
      <c r="E7" s="141"/>
      <c r="F7" s="141"/>
      <c r="G7" s="141"/>
      <c r="H7" s="142"/>
    </row>
    <row r="8" spans="1:8" ht="15" hidden="1">
      <c r="A8" s="255" t="s">
        <v>113</v>
      </c>
      <c r="B8" s="256">
        <v>0.1605</v>
      </c>
      <c r="C8" s="219">
        <f>100*B8/B$8</f>
        <v>100</v>
      </c>
      <c r="D8" s="219"/>
      <c r="E8" s="219"/>
      <c r="F8" s="219"/>
      <c r="G8" s="220"/>
      <c r="H8" s="221">
        <f>+B$211/B8</f>
        <v>2.0383127423339111</v>
      </c>
    </row>
    <row r="9" spans="1:8" ht="15" hidden="1">
      <c r="A9" s="237" t="s">
        <v>114</v>
      </c>
      <c r="B9" s="193">
        <v>0.16209999999999999</v>
      </c>
      <c r="C9" s="165">
        <f t="shared" ref="C9:C31" si="0">100*B9/B$8</f>
        <v>100.9968847352025</v>
      </c>
      <c r="D9" s="165">
        <f t="shared" ref="D9:D26" si="1">100*(B9/B8-1)</f>
        <v>0.99688473520249676</v>
      </c>
      <c r="E9" s="165"/>
      <c r="F9" s="165"/>
      <c r="G9" s="225"/>
      <c r="H9" s="174">
        <f>+B$211/B9</f>
        <v>2.0181936776347484</v>
      </c>
    </row>
    <row r="10" spans="1:8" ht="15" hidden="1">
      <c r="A10" s="237" t="s">
        <v>115</v>
      </c>
      <c r="B10" s="193">
        <v>0.16389999999999999</v>
      </c>
      <c r="C10" s="165">
        <f t="shared" si="0"/>
        <v>102.11838006230529</v>
      </c>
      <c r="D10" s="165">
        <f t="shared" si="1"/>
        <v>1.1104256631708775</v>
      </c>
      <c r="E10" s="165"/>
      <c r="F10" s="226"/>
      <c r="G10" s="185"/>
      <c r="H10" s="174">
        <f>+B$211/B10</f>
        <v>1.9960292565258861</v>
      </c>
    </row>
    <row r="11" spans="1:8" ht="15" hidden="1">
      <c r="A11" s="237" t="s">
        <v>116</v>
      </c>
      <c r="B11" s="193">
        <v>0.16589999999999999</v>
      </c>
      <c r="C11" s="165">
        <f t="shared" si="0"/>
        <v>103.36448598130841</v>
      </c>
      <c r="D11" s="165">
        <f t="shared" si="1"/>
        <v>1.2202562538133011</v>
      </c>
      <c r="E11" s="165">
        <f t="shared" ref="E11:E16" si="2">100*(B11/B$10-1)</f>
        <v>1.2202562538133011</v>
      </c>
      <c r="F11" s="226"/>
      <c r="G11" s="185"/>
      <c r="H11" s="174">
        <f>+B$211/B11</f>
        <v>1.9719662154586663</v>
      </c>
    </row>
    <row r="12" spans="1:8" ht="15" hidden="1">
      <c r="A12" s="237" t="s">
        <v>117</v>
      </c>
      <c r="B12" s="193">
        <v>0.1676</v>
      </c>
      <c r="C12" s="165">
        <f t="shared" si="0"/>
        <v>104.42367601246107</v>
      </c>
      <c r="D12" s="165">
        <f t="shared" si="1"/>
        <v>1.0247136829415249</v>
      </c>
      <c r="E12" s="165">
        <f t="shared" si="2"/>
        <v>2.2574740695546103</v>
      </c>
      <c r="F12" s="226"/>
      <c r="G12" s="185"/>
      <c r="H12" s="174">
        <f>+B$211/B12</f>
        <v>1.9519641715071165</v>
      </c>
    </row>
    <row r="13" spans="1:8" ht="15" hidden="1">
      <c r="A13" s="237" t="s">
        <v>118</v>
      </c>
      <c r="B13" s="193">
        <v>0.1694</v>
      </c>
      <c r="C13" s="165">
        <f t="shared" si="0"/>
        <v>105.54517133956385</v>
      </c>
      <c r="D13" s="165">
        <f t="shared" si="1"/>
        <v>1.0739856801909253</v>
      </c>
      <c r="E13" s="165">
        <f t="shared" si="2"/>
        <v>3.3557046979865834</v>
      </c>
      <c r="F13" s="226"/>
      <c r="G13" s="185"/>
      <c r="H13" s="174">
        <f>+B$211/B13</f>
        <v>1.9312231118334873</v>
      </c>
    </row>
    <row r="14" spans="1:8" ht="15" hidden="1">
      <c r="A14" s="237" t="s">
        <v>119</v>
      </c>
      <c r="B14" s="193">
        <v>0.17130000000000001</v>
      </c>
      <c r="C14" s="165">
        <f t="shared" si="0"/>
        <v>106.72897196261684</v>
      </c>
      <c r="D14" s="165">
        <f t="shared" si="1"/>
        <v>1.1216056670602104</v>
      </c>
      <c r="E14" s="165">
        <f t="shared" si="2"/>
        <v>4.5149481391092205</v>
      </c>
      <c r="F14" s="226"/>
      <c r="G14" s="185"/>
      <c r="H14" s="174">
        <f>+B$211/B14</f>
        <v>1.9098026570028763</v>
      </c>
    </row>
    <row r="15" spans="1:8" ht="15" hidden="1">
      <c r="A15" s="237" t="s">
        <v>120</v>
      </c>
      <c r="B15" s="193">
        <v>0.17130000000000001</v>
      </c>
      <c r="C15" s="165">
        <f t="shared" si="0"/>
        <v>106.72897196261684</v>
      </c>
      <c r="D15" s="165">
        <f t="shared" si="1"/>
        <v>0</v>
      </c>
      <c r="E15" s="165">
        <f t="shared" si="2"/>
        <v>4.5149481391092205</v>
      </c>
      <c r="F15" s="226"/>
      <c r="G15" s="185"/>
      <c r="H15" s="174">
        <f>+B$211/B15</f>
        <v>1.9098026570028763</v>
      </c>
    </row>
    <row r="16" spans="1:8" ht="15" hidden="1">
      <c r="A16" s="237" t="s">
        <v>121</v>
      </c>
      <c r="B16" s="193">
        <v>0.17130000000000001</v>
      </c>
      <c r="C16" s="165">
        <f t="shared" si="0"/>
        <v>106.72897196261684</v>
      </c>
      <c r="D16" s="165">
        <f t="shared" si="1"/>
        <v>0</v>
      </c>
      <c r="E16" s="165">
        <f t="shared" si="2"/>
        <v>4.5149481391092205</v>
      </c>
      <c r="F16" s="226"/>
      <c r="G16" s="185"/>
      <c r="H16" s="174">
        <f>+B$211/B16</f>
        <v>1.9098026570028763</v>
      </c>
    </row>
    <row r="17" spans="1:8" ht="15" hidden="1">
      <c r="A17" s="237" t="s">
        <v>122</v>
      </c>
      <c r="B17" s="193">
        <v>0.17499999999999999</v>
      </c>
      <c r="C17" s="165">
        <f t="shared" si="0"/>
        <v>109.03426791277258</v>
      </c>
      <c r="D17" s="165">
        <f t="shared" si="1"/>
        <v>2.1599532983070491</v>
      </c>
      <c r="E17" s="165">
        <f t="shared" ref="E17:E22" si="3">100*(B17/B$10-1)</f>
        <v>6.7724222086638086</v>
      </c>
      <c r="F17" s="226"/>
      <c r="G17" s="185"/>
      <c r="H17" s="174">
        <f>+B$211/B17</f>
        <v>1.8694239722548158</v>
      </c>
    </row>
    <row r="18" spans="1:8" ht="15" hidden="1">
      <c r="A18" s="237" t="s">
        <v>123</v>
      </c>
      <c r="B18" s="193">
        <v>0.17499999999999999</v>
      </c>
      <c r="C18" s="165">
        <f t="shared" si="0"/>
        <v>109.03426791277258</v>
      </c>
      <c r="D18" s="165">
        <f t="shared" si="1"/>
        <v>0</v>
      </c>
      <c r="E18" s="165">
        <f t="shared" si="3"/>
        <v>6.7724222086638086</v>
      </c>
      <c r="F18" s="226"/>
      <c r="G18" s="185"/>
      <c r="H18" s="174">
        <f>+B$211/B18</f>
        <v>1.8694239722548158</v>
      </c>
    </row>
    <row r="19" spans="1:8" ht="15" hidden="1">
      <c r="A19" s="237" t="s">
        <v>124</v>
      </c>
      <c r="B19" s="193">
        <v>0.17</v>
      </c>
      <c r="C19" s="165">
        <f t="shared" si="0"/>
        <v>105.9190031152648</v>
      </c>
      <c r="D19" s="165">
        <f t="shared" si="1"/>
        <v>-2.857142857142847</v>
      </c>
      <c r="E19" s="165">
        <f t="shared" si="3"/>
        <v>3.7217815741305893</v>
      </c>
      <c r="F19" s="226"/>
      <c r="G19" s="185"/>
      <c r="H19" s="174">
        <f>+B$211/B19</f>
        <v>1.92440703026231</v>
      </c>
    </row>
    <row r="20" spans="1:8" ht="15" hidden="1">
      <c r="A20" s="237" t="s">
        <v>125</v>
      </c>
      <c r="B20" s="193">
        <v>0.16500000000000001</v>
      </c>
      <c r="C20" s="165">
        <f t="shared" si="0"/>
        <v>102.80373831775701</v>
      </c>
      <c r="D20" s="165">
        <f t="shared" si="1"/>
        <v>-2.9411764705882359</v>
      </c>
      <c r="E20" s="165">
        <f t="shared" si="3"/>
        <v>0.67114093959732557</v>
      </c>
      <c r="F20" s="226">
        <f>(100*(B20/B8-1))</f>
        <v>2.8037383177570208</v>
      </c>
      <c r="G20" s="185"/>
      <c r="H20" s="174">
        <f>+B$211/B20</f>
        <v>1.9827223948157133</v>
      </c>
    </row>
    <row r="21" spans="1:8" ht="15" hidden="1">
      <c r="A21" s="237" t="s">
        <v>126</v>
      </c>
      <c r="B21" s="193">
        <v>0.16200000000000001</v>
      </c>
      <c r="C21" s="165">
        <f t="shared" si="0"/>
        <v>100.93457943925233</v>
      </c>
      <c r="D21" s="165">
        <f t="shared" si="1"/>
        <v>-1.8181818181818188</v>
      </c>
      <c r="E21" s="165">
        <f t="shared" si="3"/>
        <v>-1.159243441122626</v>
      </c>
      <c r="F21" s="226">
        <f t="shared" ref="F21:F31" si="4">(100*(B21/B9-1))</f>
        <v>-6.1690314620599374E-2</v>
      </c>
      <c r="G21" s="185"/>
      <c r="H21" s="174">
        <f>+B$211/B21</f>
        <v>2.0194394762011898</v>
      </c>
    </row>
    <row r="22" spans="1:8" ht="15" hidden="1">
      <c r="A22" s="237" t="s">
        <v>127</v>
      </c>
      <c r="B22" s="193">
        <v>0.16</v>
      </c>
      <c r="C22" s="165">
        <f t="shared" si="0"/>
        <v>99.688473520249218</v>
      </c>
      <c r="D22" s="165">
        <f t="shared" si="1"/>
        <v>-1.2345679012345734</v>
      </c>
      <c r="E22" s="165">
        <f t="shared" si="3"/>
        <v>-2.3794996949359271</v>
      </c>
      <c r="F22" s="226">
        <f t="shared" si="4"/>
        <v>-2.3794996949359271</v>
      </c>
      <c r="G22" s="185"/>
      <c r="H22" s="174">
        <f>+B$211/B22</f>
        <v>2.0446824696537047</v>
      </c>
    </row>
    <row r="23" spans="1:8" ht="15" hidden="1">
      <c r="A23" s="237" t="s">
        <v>128</v>
      </c>
      <c r="B23" s="193">
        <v>0.15890000000000001</v>
      </c>
      <c r="C23" s="165">
        <f t="shared" si="0"/>
        <v>99.003115264797515</v>
      </c>
      <c r="D23" s="165">
        <f t="shared" si="1"/>
        <v>-0.68749999999999645</v>
      </c>
      <c r="E23" s="165">
        <f t="shared" ref="E23:E29" si="5">100*(B23/B$22-1)</f>
        <v>-0.68749999999999645</v>
      </c>
      <c r="F23" s="226">
        <f t="shared" si="4"/>
        <v>-4.2194092827004042</v>
      </c>
      <c r="G23" s="185"/>
      <c r="H23" s="174">
        <f>+B$211/B23</f>
        <v>2.0588369738489156</v>
      </c>
    </row>
    <row r="24" spans="1:8" ht="15" hidden="1">
      <c r="A24" s="237" t="s">
        <v>129</v>
      </c>
      <c r="B24" s="193">
        <v>0.1595</v>
      </c>
      <c r="C24" s="165">
        <f t="shared" si="0"/>
        <v>99.37694704049845</v>
      </c>
      <c r="D24" s="165">
        <f t="shared" si="1"/>
        <v>0.37759597230961894</v>
      </c>
      <c r="E24" s="165">
        <f t="shared" si="5"/>
        <v>-0.31250000000000444</v>
      </c>
      <c r="F24" s="226">
        <f t="shared" si="4"/>
        <v>-4.8329355608591857</v>
      </c>
      <c r="G24" s="185"/>
      <c r="H24" s="174">
        <f>+B$211/B24</f>
        <v>2.0510921325679794</v>
      </c>
    </row>
    <row r="25" spans="1:8" ht="15" hidden="1">
      <c r="A25" s="237" t="s">
        <v>130</v>
      </c>
      <c r="B25" s="193">
        <v>0.16</v>
      </c>
      <c r="C25" s="165">
        <f t="shared" si="0"/>
        <v>99.688473520249218</v>
      </c>
      <c r="D25" s="165">
        <f t="shared" si="1"/>
        <v>0.31347962382444194</v>
      </c>
      <c r="E25" s="165">
        <f t="shared" si="5"/>
        <v>0</v>
      </c>
      <c r="F25" s="226">
        <f t="shared" si="4"/>
        <v>-5.5489964580873625</v>
      </c>
      <c r="G25" s="185"/>
      <c r="H25" s="174">
        <f>+B$211/B25</f>
        <v>2.0446824696537047</v>
      </c>
    </row>
    <row r="26" spans="1:8" ht="15" hidden="1">
      <c r="A26" s="237" t="s">
        <v>131</v>
      </c>
      <c r="B26" s="193">
        <v>0.16139999999999999</v>
      </c>
      <c r="C26" s="165">
        <f t="shared" si="0"/>
        <v>100.5607476635514</v>
      </c>
      <c r="D26" s="165">
        <f t="shared" si="1"/>
        <v>0.87499999999998135</v>
      </c>
      <c r="E26" s="165">
        <f t="shared" si="5"/>
        <v>0.87499999999998135</v>
      </c>
      <c r="F26" s="226">
        <f t="shared" si="4"/>
        <v>-5.7793345008756658</v>
      </c>
      <c r="G26" s="185"/>
      <c r="H26" s="174">
        <f>+B$211/B26</f>
        <v>2.026946686149893</v>
      </c>
    </row>
    <row r="27" spans="1:8" ht="15" hidden="1">
      <c r="A27" s="237" t="s">
        <v>132</v>
      </c>
      <c r="B27" s="193">
        <v>0.1628</v>
      </c>
      <c r="C27" s="165">
        <f t="shared" si="0"/>
        <v>101.43302180685359</v>
      </c>
      <c r="D27" s="165">
        <f t="shared" ref="D27:D33" si="6">100*(B27/B26-1)</f>
        <v>0.86741016109046498</v>
      </c>
      <c r="E27" s="165">
        <f t="shared" si="5"/>
        <v>1.7500000000000071</v>
      </c>
      <c r="F27" s="226">
        <f t="shared" si="4"/>
        <v>-4.9620548744892083</v>
      </c>
      <c r="G27" s="185"/>
      <c r="H27" s="174">
        <f>+B$211/B27</f>
        <v>2.0095159406916014</v>
      </c>
    </row>
    <row r="28" spans="1:8" ht="15" hidden="1">
      <c r="A28" s="237" t="s">
        <v>133</v>
      </c>
      <c r="B28" s="193">
        <v>0.16239999999999999</v>
      </c>
      <c r="C28" s="165">
        <f t="shared" si="0"/>
        <v>101.18380062305295</v>
      </c>
      <c r="D28" s="165">
        <f t="shared" si="6"/>
        <v>-0.24570024570025328</v>
      </c>
      <c r="E28" s="165">
        <f t="shared" si="5"/>
        <v>1.4999999999999902</v>
      </c>
      <c r="F28" s="226">
        <f t="shared" si="4"/>
        <v>-5.1955633391710609</v>
      </c>
      <c r="G28" s="185"/>
      <c r="H28" s="174">
        <f>+B$211/B28</f>
        <v>2.0144654873435512</v>
      </c>
    </row>
    <row r="29" spans="1:8" ht="15" hidden="1">
      <c r="A29" s="237" t="s">
        <v>134</v>
      </c>
      <c r="B29" s="193">
        <v>0.16170000000000001</v>
      </c>
      <c r="C29" s="165">
        <f t="shared" si="0"/>
        <v>100.74766355140187</v>
      </c>
      <c r="D29" s="165">
        <f t="shared" si="6"/>
        <v>-0.43103448275860767</v>
      </c>
      <c r="E29" s="165">
        <f t="shared" si="5"/>
        <v>1.0625000000000107</v>
      </c>
      <c r="F29" s="226">
        <f t="shared" si="4"/>
        <v>-7.5999999999999845</v>
      </c>
      <c r="G29" s="185"/>
      <c r="H29" s="174">
        <f>+B$211/B29</f>
        <v>2.0231861171588914</v>
      </c>
    </row>
    <row r="30" spans="1:8" ht="15" hidden="1">
      <c r="A30" s="237" t="s">
        <v>135</v>
      </c>
      <c r="B30" s="193">
        <v>0.16120000000000001</v>
      </c>
      <c r="C30" s="165">
        <f t="shared" si="0"/>
        <v>100.43613707165109</v>
      </c>
      <c r="D30" s="165">
        <f t="shared" si="6"/>
        <v>-0.30921459492888603</v>
      </c>
      <c r="E30" s="165">
        <f>100*(B30/B$22-1)</f>
        <v>0.75000000000000622</v>
      </c>
      <c r="F30" s="226">
        <f t="shared" si="4"/>
        <v>-7.8857142857142737</v>
      </c>
      <c r="G30" s="185"/>
      <c r="H30" s="174">
        <f>+B$211/B30</f>
        <v>2.029461508341146</v>
      </c>
    </row>
    <row r="31" spans="1:8" ht="15" hidden="1">
      <c r="A31" s="237" t="s">
        <v>136</v>
      </c>
      <c r="B31" s="193">
        <v>0.16020000000000001</v>
      </c>
      <c r="C31" s="165">
        <f t="shared" si="0"/>
        <v>99.813084112149525</v>
      </c>
      <c r="D31" s="165">
        <f t="shared" si="6"/>
        <v>-0.62034739454094323</v>
      </c>
      <c r="E31" s="165">
        <f>100*(B31/B$22-1)</f>
        <v>0.12499999999999734</v>
      </c>
      <c r="F31" s="226">
        <f t="shared" si="4"/>
        <v>-5.7647058823529385</v>
      </c>
      <c r="G31" s="185"/>
      <c r="H31" s="174">
        <f>+B$211/B31</f>
        <v>2.0421298073944616</v>
      </c>
    </row>
    <row r="32" spans="1:8" ht="15" hidden="1">
      <c r="A32" s="237" t="s">
        <v>137</v>
      </c>
      <c r="B32" s="193">
        <v>0.15490000000000001</v>
      </c>
      <c r="C32" s="165">
        <f t="shared" ref="C32:C40" si="7">100*B32/B$8</f>
        <v>96.510903426791273</v>
      </c>
      <c r="D32" s="165">
        <f t="shared" si="6"/>
        <v>-3.3083645443195975</v>
      </c>
      <c r="E32" s="165">
        <f>100*(B32/B$22-1)</f>
        <v>-3.1874999999999987</v>
      </c>
      <c r="F32" s="226">
        <f t="shared" ref="F32:F37" si="8">(100*(B32/B20-1))</f>
        <v>-6.1212121212121158</v>
      </c>
      <c r="G32" s="185">
        <f t="shared" ref="G32:G37" si="9">100*(B32/B8-1)</f>
        <v>-3.4890965732087165</v>
      </c>
      <c r="H32" s="174">
        <f>+B$211/B32</f>
        <v>2.1120025509657374</v>
      </c>
    </row>
    <row r="33" spans="1:8" ht="15" hidden="1">
      <c r="A33" s="237" t="s">
        <v>138</v>
      </c>
      <c r="B33" s="193">
        <v>0.16039999999999999</v>
      </c>
      <c r="C33" s="165">
        <f t="shared" si="7"/>
        <v>99.937694704049832</v>
      </c>
      <c r="D33" s="165">
        <f t="shared" si="6"/>
        <v>3.5506778566817054</v>
      </c>
      <c r="E33" s="165">
        <f>100*(B33/B$22-1)</f>
        <v>0.24999999999999467</v>
      </c>
      <c r="F33" s="226">
        <f t="shared" si="8"/>
        <v>-0.98765432098766315</v>
      </c>
      <c r="G33" s="185">
        <f t="shared" si="9"/>
        <v>-1.0487353485502782</v>
      </c>
      <c r="H33" s="174">
        <f>+B$211/B33</f>
        <v>2.0395835108765135</v>
      </c>
    </row>
    <row r="34" spans="1:8" ht="15" hidden="1">
      <c r="A34" s="237" t="s">
        <v>139</v>
      </c>
      <c r="B34" s="193">
        <v>0.161</v>
      </c>
      <c r="C34" s="165">
        <f t="shared" si="7"/>
        <v>100.31152647975078</v>
      </c>
      <c r="D34" s="165">
        <f t="shared" ref="D34:D39" si="10">100*(B34/B33-1)</f>
        <v>0.37406483790525247</v>
      </c>
      <c r="E34" s="165">
        <f>100*(B34/B$22-1)</f>
        <v>0.62500000000000888</v>
      </c>
      <c r="F34" s="226">
        <f t="shared" si="8"/>
        <v>0.62500000000000888</v>
      </c>
      <c r="G34" s="185">
        <f t="shared" si="9"/>
        <v>-1.7693715680292765</v>
      </c>
      <c r="H34" s="174">
        <f>+B$211/B34</f>
        <v>2.0319825785378431</v>
      </c>
    </row>
    <row r="35" spans="1:8" ht="15" hidden="1">
      <c r="A35" s="237" t="s">
        <v>140</v>
      </c>
      <c r="B35" s="193">
        <v>0.1555</v>
      </c>
      <c r="C35" s="165">
        <f t="shared" si="7"/>
        <v>96.884735202492209</v>
      </c>
      <c r="D35" s="165">
        <f t="shared" si="10"/>
        <v>-3.4161490683229823</v>
      </c>
      <c r="E35" s="165">
        <f t="shared" ref="E35:E40" si="11">100*(B35/B$34-1)</f>
        <v>-3.4161490683229823</v>
      </c>
      <c r="F35" s="226">
        <f t="shared" si="8"/>
        <v>-2.1397105097545666</v>
      </c>
      <c r="G35" s="185">
        <f t="shared" si="9"/>
        <v>-6.2688366485834752</v>
      </c>
      <c r="H35" s="174">
        <f>+B$211/B35</f>
        <v>2.1038533449813039</v>
      </c>
    </row>
    <row r="36" spans="1:8" ht="15" hidden="1">
      <c r="A36" s="237" t="s">
        <v>141</v>
      </c>
      <c r="B36" s="193">
        <v>0.15640000000000001</v>
      </c>
      <c r="C36" s="165">
        <f t="shared" si="7"/>
        <v>97.445482866043619</v>
      </c>
      <c r="D36" s="165">
        <f t="shared" si="10"/>
        <v>0.57877813504823017</v>
      </c>
      <c r="E36" s="165">
        <f t="shared" si="11"/>
        <v>-2.8571428571428581</v>
      </c>
      <c r="F36" s="226">
        <f t="shared" si="8"/>
        <v>-1.9435736677115956</v>
      </c>
      <c r="G36" s="185">
        <f t="shared" si="9"/>
        <v>-6.6825775656324531</v>
      </c>
      <c r="H36" s="174">
        <f>+B$211/B36</f>
        <v>2.09174677202425</v>
      </c>
    </row>
    <row r="37" spans="1:8" ht="15" hidden="1">
      <c r="A37" s="237" t="s">
        <v>142</v>
      </c>
      <c r="B37" s="193">
        <v>0.15640000000000001</v>
      </c>
      <c r="C37" s="165">
        <f t="shared" si="7"/>
        <v>97.445482866043619</v>
      </c>
      <c r="D37" s="165">
        <f t="shared" si="10"/>
        <v>0</v>
      </c>
      <c r="E37" s="165">
        <f t="shared" si="11"/>
        <v>-2.8571428571428581</v>
      </c>
      <c r="F37" s="226">
        <f t="shared" si="8"/>
        <v>-2.2499999999999964</v>
      </c>
      <c r="G37" s="185">
        <f t="shared" si="9"/>
        <v>-7.6741440377803949</v>
      </c>
      <c r="H37" s="174">
        <f>+B$211/B37</f>
        <v>2.09174677202425</v>
      </c>
    </row>
    <row r="38" spans="1:8" ht="15" hidden="1">
      <c r="A38" s="237" t="s">
        <v>143</v>
      </c>
      <c r="B38" s="193">
        <v>0.156</v>
      </c>
      <c r="C38" s="165">
        <f t="shared" si="7"/>
        <v>97.196261682242991</v>
      </c>
      <c r="D38" s="165">
        <f t="shared" si="10"/>
        <v>-0.25575447570332921</v>
      </c>
      <c r="E38" s="165">
        <f t="shared" si="11"/>
        <v>-3.1055900621118071</v>
      </c>
      <c r="F38" s="226">
        <f t="shared" ref="F38:F44" si="12">(100*(B38/B26-1))</f>
        <v>-3.3457249070631856</v>
      </c>
      <c r="G38" s="185">
        <f t="shared" ref="G38:G43" si="13">100*(B38/B14-1)</f>
        <v>-8.9316987740805658</v>
      </c>
      <c r="H38" s="174">
        <f>+B$211/B38</f>
        <v>2.0971102252858507</v>
      </c>
    </row>
    <row r="39" spans="1:8" ht="12" hidden="1" customHeight="1">
      <c r="A39" s="237" t="s">
        <v>144</v>
      </c>
      <c r="B39" s="193">
        <v>0.15529999999999999</v>
      </c>
      <c r="C39" s="165">
        <f t="shared" si="7"/>
        <v>96.760124610591888</v>
      </c>
      <c r="D39" s="165">
        <f t="shared" si="10"/>
        <v>-0.44871794871794712</v>
      </c>
      <c r="E39" s="165">
        <f t="shared" si="11"/>
        <v>-3.5403726708074568</v>
      </c>
      <c r="F39" s="226">
        <f t="shared" si="12"/>
        <v>-4.6068796068796107</v>
      </c>
      <c r="G39" s="185">
        <f t="shared" si="13"/>
        <v>-9.3403385872738003</v>
      </c>
      <c r="H39" s="174">
        <f>+B$211/B39</f>
        <v>2.1065627504481181</v>
      </c>
    </row>
    <row r="40" spans="1:8" ht="15" hidden="1">
      <c r="A40" s="237" t="s">
        <v>145</v>
      </c>
      <c r="B40" s="193">
        <v>0.15590000000000001</v>
      </c>
      <c r="C40" s="165">
        <f t="shared" si="7"/>
        <v>97.133956386292837</v>
      </c>
      <c r="D40" s="165">
        <f t="shared" ref="D40:D45" si="14">100*(B40/B39-1)</f>
        <v>0.3863490019317517</v>
      </c>
      <c r="E40" s="165">
        <f t="shared" si="11"/>
        <v>-3.1677018633540333</v>
      </c>
      <c r="F40" s="226">
        <f t="shared" si="12"/>
        <v>-4.002463054187178</v>
      </c>
      <c r="G40" s="185">
        <f t="shared" si="13"/>
        <v>-8.9900758902510152</v>
      </c>
      <c r="H40" s="174">
        <f>+B$211/B40</f>
        <v>2.0984553889967459</v>
      </c>
    </row>
    <row r="41" spans="1:8" ht="15" hidden="1">
      <c r="A41" s="237" t="s">
        <v>146</v>
      </c>
      <c r="B41" s="193">
        <v>0.15709999999999999</v>
      </c>
      <c r="C41" s="165">
        <f t="shared" ref="C41:C106" si="15">100*B41/B$8</f>
        <v>97.881619937694694</v>
      </c>
      <c r="D41" s="183">
        <f t="shared" si="14"/>
        <v>0.76972418216805227</v>
      </c>
      <c r="E41" s="183">
        <f t="shared" ref="E41:E46" si="16">100*(B41/B$34-1)</f>
        <v>-2.4223602484472084</v>
      </c>
      <c r="F41" s="184">
        <f t="shared" si="12"/>
        <v>-2.8447742733457182</v>
      </c>
      <c r="G41" s="185">
        <f t="shared" si="13"/>
        <v>-10.228571428571431</v>
      </c>
      <c r="H41" s="174">
        <f>+B$211/B41</f>
        <v>2.0824264490426017</v>
      </c>
    </row>
    <row r="42" spans="1:8" ht="15" hidden="1">
      <c r="A42" s="237" t="s">
        <v>147</v>
      </c>
      <c r="B42" s="193">
        <v>0.15740000000000001</v>
      </c>
      <c r="C42" s="165">
        <f t="shared" si="15"/>
        <v>98.068535825545183</v>
      </c>
      <c r="D42" s="183">
        <f t="shared" si="14"/>
        <v>0.19096117122852085</v>
      </c>
      <c r="E42" s="183">
        <f t="shared" si="16"/>
        <v>-2.2360248447204967</v>
      </c>
      <c r="F42" s="184">
        <f t="shared" si="12"/>
        <v>-2.3573200992555776</v>
      </c>
      <c r="G42" s="185">
        <f t="shared" si="13"/>
        <v>-10.057142857142843</v>
      </c>
      <c r="H42" s="174">
        <f>+B$211/B42</f>
        <v>2.0784574024434099</v>
      </c>
    </row>
    <row r="43" spans="1:8" ht="15" hidden="1">
      <c r="A43" s="237" t="s">
        <v>148</v>
      </c>
      <c r="B43" s="193">
        <v>0.158</v>
      </c>
      <c r="C43" s="165">
        <f t="shared" si="15"/>
        <v>98.442367601246104</v>
      </c>
      <c r="D43" s="183">
        <f t="shared" si="14"/>
        <v>0.38119440914865521</v>
      </c>
      <c r="E43" s="183">
        <f t="shared" si="16"/>
        <v>-1.8633540372670843</v>
      </c>
      <c r="F43" s="184">
        <f t="shared" si="12"/>
        <v>-1.3732833957553092</v>
      </c>
      <c r="G43" s="185">
        <f t="shared" si="13"/>
        <v>-7.0588235294117734</v>
      </c>
      <c r="H43" s="174">
        <f>+B$211/B43</f>
        <v>2.0705645262315997</v>
      </c>
    </row>
    <row r="44" spans="1:8" ht="15" hidden="1">
      <c r="A44" s="237" t="s">
        <v>149</v>
      </c>
      <c r="B44" s="193">
        <v>0.15840000000000001</v>
      </c>
      <c r="C44" s="165">
        <f t="shared" si="15"/>
        <v>98.691588785046733</v>
      </c>
      <c r="D44" s="183">
        <f t="shared" si="14"/>
        <v>0.25316455696202667</v>
      </c>
      <c r="E44" s="183">
        <f t="shared" si="16"/>
        <v>-1.6149068322981353</v>
      </c>
      <c r="F44" s="184">
        <f t="shared" si="12"/>
        <v>2.2595222724338226</v>
      </c>
      <c r="G44" s="185">
        <f t="shared" ref="G44:G49" si="17">100*(B44/B20-1)</f>
        <v>-3.9999999999999925</v>
      </c>
      <c r="H44" s="174">
        <f>+B$211/B44</f>
        <v>2.0653358279330347</v>
      </c>
    </row>
    <row r="45" spans="1:8" ht="15" hidden="1">
      <c r="A45" s="237" t="s">
        <v>150</v>
      </c>
      <c r="B45" s="257">
        <v>0.15920000000000001</v>
      </c>
      <c r="C45" s="224">
        <f t="shared" si="15"/>
        <v>99.19003115264799</v>
      </c>
      <c r="D45" s="249">
        <f t="shared" si="14"/>
        <v>0.5050505050504972</v>
      </c>
      <c r="E45" s="249">
        <f t="shared" si="16"/>
        <v>-1.1180124223602483</v>
      </c>
      <c r="F45" s="250">
        <f t="shared" ref="F45:F50" si="18">(100*(B45/B33-1))</f>
        <v>-0.74812967581046053</v>
      </c>
      <c r="G45" s="251">
        <f t="shared" si="17"/>
        <v>-1.7283950617283939</v>
      </c>
      <c r="H45" s="174">
        <f>+B$211/B45</f>
        <v>2.0549572559333713</v>
      </c>
    </row>
    <row r="46" spans="1:8" ht="15" hidden="1">
      <c r="A46" s="237" t="s">
        <v>151</v>
      </c>
      <c r="B46" s="193">
        <v>0.16039999999999999</v>
      </c>
      <c r="C46" s="165">
        <f t="shared" si="15"/>
        <v>99.937694704049832</v>
      </c>
      <c r="D46" s="183">
        <f t="shared" ref="D46:D51" si="19">100*(B46/B45-1)</f>
        <v>0.75376884422109214</v>
      </c>
      <c r="E46" s="183">
        <f t="shared" si="16"/>
        <v>-0.37267080745342351</v>
      </c>
      <c r="F46" s="184">
        <f t="shared" si="18"/>
        <v>-0.37267080745342351</v>
      </c>
      <c r="G46" s="185">
        <f t="shared" si="17"/>
        <v>0.24999999999999467</v>
      </c>
      <c r="H46" s="174">
        <f>+B$211/B46</f>
        <v>2.0395835108765135</v>
      </c>
    </row>
    <row r="47" spans="1:8" ht="12" hidden="1" customHeight="1">
      <c r="A47" s="237" t="s">
        <v>152</v>
      </c>
      <c r="B47" s="258">
        <v>0.16089999999999999</v>
      </c>
      <c r="C47" s="259">
        <f t="shared" si="15"/>
        <v>100.24922118380061</v>
      </c>
      <c r="D47" s="260">
        <f t="shared" si="19"/>
        <v>0.31172069825435855</v>
      </c>
      <c r="E47" s="183">
        <f t="shared" ref="E47:E52" si="20">100*(B47/B$46-1)</f>
        <v>0.31172069825435855</v>
      </c>
      <c r="F47" s="261">
        <f t="shared" si="18"/>
        <v>3.472668810289381</v>
      </c>
      <c r="G47" s="185">
        <f t="shared" si="17"/>
        <v>1.2586532410320705</v>
      </c>
      <c r="H47" s="174">
        <f>+B$211/B47</f>
        <v>2.0332454639191595</v>
      </c>
    </row>
    <row r="48" spans="1:8" ht="15" hidden="1">
      <c r="A48" s="237" t="s">
        <v>153</v>
      </c>
      <c r="B48" s="193">
        <v>0.16170000000000001</v>
      </c>
      <c r="C48" s="165">
        <f t="shared" si="15"/>
        <v>100.74766355140187</v>
      </c>
      <c r="D48" s="183">
        <f t="shared" si="19"/>
        <v>0.49720323182103066</v>
      </c>
      <c r="E48" s="183">
        <f t="shared" si="20"/>
        <v>0.81047381546135444</v>
      </c>
      <c r="F48" s="184">
        <f t="shared" si="18"/>
        <v>3.3887468030690426</v>
      </c>
      <c r="G48" s="185">
        <f t="shared" si="17"/>
        <v>1.379310344827589</v>
      </c>
      <c r="H48" s="174">
        <f>+B$211/B48</f>
        <v>2.0231861171588914</v>
      </c>
    </row>
    <row r="49" spans="1:8" ht="15" hidden="1">
      <c r="A49" s="237" t="s">
        <v>154</v>
      </c>
      <c r="B49" s="257">
        <v>0.16209999999999999</v>
      </c>
      <c r="C49" s="224">
        <f t="shared" si="15"/>
        <v>100.9968847352025</v>
      </c>
      <c r="D49" s="249">
        <f t="shared" si="19"/>
        <v>0.24737167594308662</v>
      </c>
      <c r="E49" s="249">
        <f t="shared" si="20"/>
        <v>1.0598503740648413</v>
      </c>
      <c r="F49" s="250">
        <f t="shared" si="18"/>
        <v>3.6445012787723607</v>
      </c>
      <c r="G49" s="251">
        <f t="shared" si="17"/>
        <v>1.3124999999999831</v>
      </c>
      <c r="H49" s="174">
        <f>+B$211/B49</f>
        <v>2.0181936776347484</v>
      </c>
    </row>
    <row r="50" spans="1:8" ht="15" hidden="1">
      <c r="A50" s="237" t="s">
        <v>155</v>
      </c>
      <c r="B50" s="193">
        <v>0.16270000000000001</v>
      </c>
      <c r="C50" s="165">
        <f t="shared" si="15"/>
        <v>101.37071651090342</v>
      </c>
      <c r="D50" s="183">
        <f t="shared" si="19"/>
        <v>0.37014188772364065</v>
      </c>
      <c r="E50" s="183">
        <f t="shared" si="20"/>
        <v>1.4339152119700938</v>
      </c>
      <c r="F50" s="184">
        <f t="shared" si="18"/>
        <v>4.2948717948718018</v>
      </c>
      <c r="G50" s="185">
        <f t="shared" ref="G50:G77" si="21">100*(B50/B26-1)</f>
        <v>0.80545229244115557</v>
      </c>
      <c r="H50" s="174">
        <f>+B$211/B50</f>
        <v>2.0107510457565625</v>
      </c>
    </row>
    <row r="51" spans="1:8" ht="15" hidden="1">
      <c r="A51" s="237" t="s">
        <v>156</v>
      </c>
      <c r="B51" s="193">
        <v>0.1628</v>
      </c>
      <c r="C51" s="165">
        <f t="shared" si="15"/>
        <v>101.43302180685359</v>
      </c>
      <c r="D51" s="183">
        <f t="shared" si="19"/>
        <v>6.1462814996926518E-2</v>
      </c>
      <c r="E51" s="183">
        <f t="shared" si="20"/>
        <v>1.4962593516209655</v>
      </c>
      <c r="F51" s="184">
        <f t="shared" ref="F51:F64" si="22">(100*(B51/B39-1))</f>
        <v>4.8293625241468074</v>
      </c>
      <c r="G51" s="185">
        <f t="shared" si="21"/>
        <v>0</v>
      </c>
      <c r="H51" s="174">
        <f>+B$211/B51</f>
        <v>2.0095159406916014</v>
      </c>
    </row>
    <row r="52" spans="1:8" ht="15" hidden="1">
      <c r="A52" s="237" t="s">
        <v>157</v>
      </c>
      <c r="B52" s="193">
        <v>0.1628</v>
      </c>
      <c r="C52" s="165">
        <f t="shared" si="15"/>
        <v>101.43302180685359</v>
      </c>
      <c r="D52" s="183">
        <f>100*(B52/B51-1)</f>
        <v>0</v>
      </c>
      <c r="E52" s="183">
        <f t="shared" si="20"/>
        <v>1.4962593516209655</v>
      </c>
      <c r="F52" s="184">
        <f t="shared" si="22"/>
        <v>4.4259140474663283</v>
      </c>
      <c r="G52" s="185">
        <f t="shared" si="21"/>
        <v>0.24630541871921707</v>
      </c>
      <c r="H52" s="174">
        <f>+B$211/B52</f>
        <v>2.0095159406916014</v>
      </c>
    </row>
    <row r="53" spans="1:8" ht="15" hidden="1">
      <c r="A53" s="237" t="s">
        <v>158</v>
      </c>
      <c r="B53" s="193">
        <v>0.16282990939145212</v>
      </c>
      <c r="C53" s="165">
        <f t="shared" si="15"/>
        <v>101.4516569417147</v>
      </c>
      <c r="D53" s="183">
        <f>100*(B53/B52-1)</f>
        <v>1.8371862071320244E-2</v>
      </c>
      <c r="E53" s="183">
        <f t="shared" ref="E53:E58" si="23">100*(B53/B$46-1)</f>
        <v>1.5149061043965961</v>
      </c>
      <c r="F53" s="184">
        <f t="shared" si="22"/>
        <v>3.647300694749922</v>
      </c>
      <c r="G53" s="185">
        <f t="shared" si="21"/>
        <v>0.69876894956839575</v>
      </c>
      <c r="H53" s="174">
        <f>+B$211/B53</f>
        <v>2.0091468230084679</v>
      </c>
    </row>
    <row r="54" spans="1:8" ht="15" hidden="1">
      <c r="A54" s="237" t="s">
        <v>159</v>
      </c>
      <c r="B54" s="193">
        <v>0.16335096510150465</v>
      </c>
      <c r="C54" s="165">
        <f t="shared" si="15"/>
        <v>101.77630224392813</v>
      </c>
      <c r="D54" s="183">
        <f t="shared" ref="D54:D59" si="24">100*(B54/B53-1)</f>
        <v>0.31999999999994255</v>
      </c>
      <c r="E54" s="183">
        <f t="shared" si="23"/>
        <v>1.8397538039305994</v>
      </c>
      <c r="F54" s="184">
        <f t="shared" si="22"/>
        <v>3.7807910428873104</v>
      </c>
      <c r="G54" s="185">
        <f t="shared" si="21"/>
        <v>1.3343455964669015</v>
      </c>
      <c r="H54" s="174">
        <f>+B$211/B54</f>
        <v>2.0027380612125891</v>
      </c>
    </row>
    <row r="55" spans="1:8" ht="15" hidden="1">
      <c r="A55" s="237" t="s">
        <v>160</v>
      </c>
      <c r="B55" s="193">
        <v>0.16379060585686159</v>
      </c>
      <c r="C55" s="165">
        <f t="shared" si="15"/>
        <v>102.05022171767077</v>
      </c>
      <c r="D55" s="183">
        <f t="shared" si="24"/>
        <v>0.26913875598086889</v>
      </c>
      <c r="E55" s="183">
        <f t="shared" si="23"/>
        <v>2.1138440504124612</v>
      </c>
      <c r="F55" s="184">
        <f t="shared" si="22"/>
        <v>3.6649404157351739</v>
      </c>
      <c r="G55" s="185">
        <f t="shared" si="21"/>
        <v>2.241327001786253</v>
      </c>
      <c r="H55" s="174">
        <f>+B$211/B55</f>
        <v>1.997362384937339</v>
      </c>
    </row>
    <row r="56" spans="1:8" ht="15" hidden="1">
      <c r="A56" s="237" t="s">
        <v>161</v>
      </c>
      <c r="B56" s="193">
        <v>0.16420008237150374</v>
      </c>
      <c r="C56" s="165">
        <f t="shared" si="15"/>
        <v>102.30534727196493</v>
      </c>
      <c r="D56" s="183">
        <f t="shared" si="24"/>
        <v>0.24999999999999467</v>
      </c>
      <c r="E56" s="183">
        <f t="shared" si="23"/>
        <v>2.3691286605385109</v>
      </c>
      <c r="F56" s="184">
        <f t="shared" si="22"/>
        <v>3.6616681638281134</v>
      </c>
      <c r="G56" s="185">
        <f t="shared" si="21"/>
        <v>6.0039266439662509</v>
      </c>
      <c r="H56" s="174">
        <f>+B$211/B56</f>
        <v>1.9923814313589416</v>
      </c>
    </row>
    <row r="57" spans="1:8" ht="15" hidden="1">
      <c r="A57" s="237" t="s">
        <v>162</v>
      </c>
      <c r="B57" s="193">
        <v>0.16469268261861825</v>
      </c>
      <c r="C57" s="165">
        <f t="shared" si="15"/>
        <v>102.61226331378083</v>
      </c>
      <c r="D57" s="183">
        <f t="shared" si="24"/>
        <v>0.29999999999998916</v>
      </c>
      <c r="E57" s="183">
        <f t="shared" si="23"/>
        <v>2.6762360465201196</v>
      </c>
      <c r="F57" s="184">
        <f t="shared" si="22"/>
        <v>3.4501775242576915</v>
      </c>
      <c r="G57" s="185">
        <f t="shared" si="21"/>
        <v>2.6762360465201196</v>
      </c>
      <c r="H57" s="174">
        <f>+B$211/B57</f>
        <v>1.9864221648643485</v>
      </c>
    </row>
    <row r="58" spans="1:8" ht="15" hidden="1">
      <c r="A58" s="237" t="s">
        <v>163</v>
      </c>
      <c r="B58" s="193">
        <v>0.16540086115387831</v>
      </c>
      <c r="C58" s="165">
        <f t="shared" si="15"/>
        <v>103.05349604603009</v>
      </c>
      <c r="D58" s="183">
        <f t="shared" si="24"/>
        <v>0.42999999999999705</v>
      </c>
      <c r="E58" s="183">
        <f t="shared" si="23"/>
        <v>3.1177438615201503</v>
      </c>
      <c r="F58" s="184">
        <f t="shared" si="22"/>
        <v>3.1177438615201503</v>
      </c>
      <c r="G58" s="185">
        <f t="shared" si="21"/>
        <v>2.7334541328436712</v>
      </c>
      <c r="H58" s="174">
        <f>+B$211/B58</f>
        <v>1.9779171212430036</v>
      </c>
    </row>
    <row r="59" spans="1:8" ht="15" hidden="1">
      <c r="A59" s="237" t="s">
        <v>164</v>
      </c>
      <c r="B59" s="193">
        <f>[105]PLANCUSr!$H$194</f>
        <v>0.16700524950707094</v>
      </c>
      <c r="C59" s="165">
        <f t="shared" si="15"/>
        <v>104.0531149576766</v>
      </c>
      <c r="D59" s="183">
        <f t="shared" si="24"/>
        <v>0.97000000000000419</v>
      </c>
      <c r="E59" s="183">
        <f t="shared" ref="E59:E64" si="25">100*(B59/B$58-1)</f>
        <v>0.97000000000000419</v>
      </c>
      <c r="F59" s="184">
        <f t="shared" si="22"/>
        <v>3.7944372324866027</v>
      </c>
      <c r="G59" s="185">
        <f t="shared" si="21"/>
        <v>7.3988742810745523</v>
      </c>
      <c r="H59" s="174">
        <f>+B$211/B59</f>
        <v>1.9589156395394707</v>
      </c>
    </row>
    <row r="60" spans="1:8" ht="15" hidden="1">
      <c r="A60" s="237" t="s">
        <v>165</v>
      </c>
      <c r="B60" s="193">
        <f>[106]PLANCUSr!$H$194</f>
        <v>0.1681241846787683</v>
      </c>
      <c r="C60" s="165">
        <f t="shared" si="15"/>
        <v>104.75027082789303</v>
      </c>
      <c r="D60" s="183">
        <f t="shared" ref="D60:D65" si="26">100*(B60/B59-1)</f>
        <v>0.66999999999999282</v>
      </c>
      <c r="E60" s="183">
        <f t="shared" si="25"/>
        <v>1.6464990000000013</v>
      </c>
      <c r="F60" s="184">
        <f t="shared" si="22"/>
        <v>3.9729033263873115</v>
      </c>
      <c r="G60" s="185">
        <f t="shared" si="21"/>
        <v>7.4962817639183443</v>
      </c>
      <c r="H60" s="174">
        <f>+B$211/B60</f>
        <v>1.9458782552294336</v>
      </c>
    </row>
    <row r="61" spans="1:8" ht="15" hidden="1">
      <c r="A61" s="237" t="s">
        <v>166</v>
      </c>
      <c r="B61" s="193">
        <f>[107]PLANCUSr!$H$194</f>
        <v>0.1689647421401673</v>
      </c>
      <c r="C61" s="165">
        <f t="shared" si="15"/>
        <v>105.27398264184879</v>
      </c>
      <c r="D61" s="183">
        <f t="shared" si="26"/>
        <v>0.49996225290551699</v>
      </c>
      <c r="E61" s="183">
        <f t="shared" si="25"/>
        <v>2.1546931263999758</v>
      </c>
      <c r="F61" s="184">
        <f t="shared" si="22"/>
        <v>4.2348810241624291</v>
      </c>
      <c r="G61" s="185">
        <f t="shared" si="21"/>
        <v>8.0337225960148917</v>
      </c>
      <c r="H61" s="174">
        <f>+B$211/B61</f>
        <v>1.9361979961073836</v>
      </c>
    </row>
    <row r="62" spans="1:8" ht="15" hidden="1">
      <c r="A62" s="237" t="s">
        <v>167</v>
      </c>
      <c r="B62" s="193">
        <f>[108]PLANCUSr!$H$194</f>
        <v>0.16982646232508217</v>
      </c>
      <c r="C62" s="165">
        <f t="shared" si="15"/>
        <v>105.81087995332221</v>
      </c>
      <c r="D62" s="183">
        <f t="shared" si="26"/>
        <v>0.51000000000001044</v>
      </c>
      <c r="E62" s="183">
        <f t="shared" si="25"/>
        <v>2.6756820613446308</v>
      </c>
      <c r="F62" s="184">
        <f t="shared" si="22"/>
        <v>4.3801243546909285</v>
      </c>
      <c r="G62" s="185">
        <f t="shared" si="21"/>
        <v>8.863116875052679</v>
      </c>
      <c r="H62" s="174">
        <f>+B$211/B62</f>
        <v>1.9263734913017445</v>
      </c>
    </row>
    <row r="63" spans="1:8" ht="15" hidden="1">
      <c r="A63" s="237" t="s">
        <v>168</v>
      </c>
      <c r="B63" s="193">
        <f>[109]PLANCUSr!$H$194</f>
        <v>0.17091335168396268</v>
      </c>
      <c r="C63" s="165">
        <f t="shared" si="15"/>
        <v>106.48806958502347</v>
      </c>
      <c r="D63" s="183">
        <f t="shared" si="26"/>
        <v>0.63999999999999613</v>
      </c>
      <c r="E63" s="183">
        <f t="shared" si="25"/>
        <v>3.3328064265372381</v>
      </c>
      <c r="F63" s="184">
        <f t="shared" si="22"/>
        <v>4.9836312555053386</v>
      </c>
      <c r="G63" s="185">
        <f t="shared" si="21"/>
        <v>10.053671399847186</v>
      </c>
      <c r="H63" s="174">
        <f>+B$211/B63</f>
        <v>1.9141231034397304</v>
      </c>
    </row>
    <row r="64" spans="1:8" ht="15" hidden="1">
      <c r="A64" s="237" t="s">
        <v>169</v>
      </c>
      <c r="B64" s="193">
        <f>[110]PLANCUSr!$H$194</f>
        <v>0.17255411986012872</v>
      </c>
      <c r="C64" s="165">
        <f t="shared" si="15"/>
        <v>107.5103550530397</v>
      </c>
      <c r="D64" s="183">
        <f t="shared" si="26"/>
        <v>0.96000000000000529</v>
      </c>
      <c r="E64" s="183">
        <f t="shared" si="25"/>
        <v>4.3248013682319897</v>
      </c>
      <c r="F64" s="184">
        <f t="shared" si="22"/>
        <v>5.9914741155581819</v>
      </c>
      <c r="G64" s="185">
        <f t="shared" si="21"/>
        <v>10.682565657555298</v>
      </c>
      <c r="H64" s="174">
        <f>+B$211/B64</f>
        <v>1.8959222498412545</v>
      </c>
    </row>
    <row r="65" spans="1:8" ht="15" hidden="1">
      <c r="A65" s="237" t="s">
        <v>170</v>
      </c>
      <c r="B65" s="193">
        <f>[111]PLANCUSr!$H$194</f>
        <v>0.1741243623508559</v>
      </c>
      <c r="C65" s="165">
        <f t="shared" si="15"/>
        <v>108.48869928402236</v>
      </c>
      <c r="D65" s="183">
        <f t="shared" si="26"/>
        <v>0.9100000000000108</v>
      </c>
      <c r="E65" s="183">
        <f t="shared" ref="E65:E70" si="27">100*(B65/B$58-1)</f>
        <v>5.2741570606829047</v>
      </c>
      <c r="F65" s="184">
        <f t="shared" ref="F65:F70" si="28">(100*(B65/B53-1))</f>
        <v>6.9363503312228181</v>
      </c>
      <c r="G65" s="185">
        <f t="shared" si="21"/>
        <v>10.836640579793698</v>
      </c>
      <c r="H65" s="174">
        <f>+B$211/B65</f>
        <v>1.8788249428612172</v>
      </c>
    </row>
    <row r="66" spans="1:8" ht="15" hidden="1">
      <c r="A66" s="237" t="s">
        <v>171</v>
      </c>
      <c r="B66" s="193">
        <f>[112]PLANCUSr!$H$194</f>
        <v>0.17513428365249087</v>
      </c>
      <c r="C66" s="165">
        <f t="shared" si="15"/>
        <v>109.1179337398697</v>
      </c>
      <c r="D66" s="183">
        <f t="shared" ref="D66:D71" si="29">100*(B66/B65-1)</f>
        <v>0.58000000000000274</v>
      </c>
      <c r="E66" s="183">
        <f t="shared" si="27"/>
        <v>5.8847471716348521</v>
      </c>
      <c r="F66" s="184">
        <f t="shared" si="28"/>
        <v>7.213497969641125</v>
      </c>
      <c r="G66" s="185">
        <f t="shared" si="21"/>
        <v>11.267016297643483</v>
      </c>
      <c r="H66" s="174">
        <f>+B$211/B66</f>
        <v>1.8679905973963187</v>
      </c>
    </row>
    <row r="67" spans="1:8" ht="15" hidden="1">
      <c r="A67" s="237" t="s">
        <v>172</v>
      </c>
      <c r="B67" s="193">
        <f>[113]PLANCUSr!$H$194</f>
        <v>0.17550206564816109</v>
      </c>
      <c r="C67" s="165">
        <f t="shared" si="15"/>
        <v>109.34708140072341</v>
      </c>
      <c r="D67" s="183">
        <f t="shared" si="29"/>
        <v>0.20999999999999908</v>
      </c>
      <c r="E67" s="183">
        <f t="shared" si="27"/>
        <v>6.1071051406953014</v>
      </c>
      <c r="F67" s="184">
        <f t="shared" si="28"/>
        <v>7.1502634293533873</v>
      </c>
      <c r="G67" s="185">
        <f t="shared" si="21"/>
        <v>11.077256739342456</v>
      </c>
      <c r="H67" s="174">
        <f>+B$211/B67</f>
        <v>1.8640760377171126</v>
      </c>
    </row>
    <row r="68" spans="1:8" ht="15" hidden="1">
      <c r="A68" s="237" t="s">
        <v>173</v>
      </c>
      <c r="B68" s="193">
        <f>[114]PLANCUSr!$H$194</f>
        <v>0.17576531874663334</v>
      </c>
      <c r="C68" s="165">
        <f t="shared" si="15"/>
        <v>109.51110202282452</v>
      </c>
      <c r="D68" s="183">
        <f t="shared" si="29"/>
        <v>0.15000000000000568</v>
      </c>
      <c r="E68" s="183">
        <f t="shared" si="27"/>
        <v>6.2662657984063452</v>
      </c>
      <c r="F68" s="184">
        <f t="shared" si="28"/>
        <v>7.0433803735635125</v>
      </c>
      <c r="G68" s="185">
        <f t="shared" si="21"/>
        <v>10.962953754187698</v>
      </c>
      <c r="H68" s="174">
        <f>+B$211/B68</f>
        <v>1.861284111549788</v>
      </c>
    </row>
    <row r="69" spans="1:8" ht="15" hidden="1">
      <c r="A69" s="237" t="s">
        <v>174</v>
      </c>
      <c r="B69" s="193">
        <f>[115]PLANCUSr!$H$194</f>
        <v>0.17664414534036649</v>
      </c>
      <c r="C69" s="165">
        <f t="shared" si="15"/>
        <v>110.05865753293861</v>
      </c>
      <c r="D69" s="183">
        <f t="shared" si="29"/>
        <v>0.49999999999998934</v>
      </c>
      <c r="E69" s="183">
        <f t="shared" si="27"/>
        <v>6.7975971273983582</v>
      </c>
      <c r="F69" s="184">
        <f t="shared" si="28"/>
        <v>7.2568267950461784</v>
      </c>
      <c r="G69" s="185">
        <f t="shared" si="21"/>
        <v>10.95737772636085</v>
      </c>
      <c r="H69" s="174">
        <f>+B$211/B69</f>
        <v>1.8520239915918291</v>
      </c>
    </row>
    <row r="70" spans="1:8" ht="15" hidden="1">
      <c r="A70" s="237" t="s">
        <v>175</v>
      </c>
      <c r="B70" s="193">
        <f>[116]PLANCUSr!$H$194</f>
        <v>0.1773153930926599</v>
      </c>
      <c r="C70" s="165">
        <f t="shared" si="15"/>
        <v>110.4768804315638</v>
      </c>
      <c r="D70" s="183">
        <f t="shared" si="29"/>
        <v>0.38000000000000256</v>
      </c>
      <c r="E70" s="183">
        <f t="shared" si="27"/>
        <v>7.203427996482481</v>
      </c>
      <c r="F70" s="184">
        <f t="shared" si="28"/>
        <v>7.203427996482481</v>
      </c>
      <c r="G70" s="185">
        <f t="shared" si="21"/>
        <v>10.545756292181995</v>
      </c>
      <c r="H70" s="174">
        <f>+B$211/B70</f>
        <v>1.8450129424106683</v>
      </c>
    </row>
    <row r="71" spans="1:8" ht="15" hidden="1">
      <c r="A71" s="237" t="s">
        <v>176</v>
      </c>
      <c r="B71" s="193">
        <f>[117]PLANCUSr!$H$194</f>
        <v>0.1778296077326286</v>
      </c>
      <c r="C71" s="165">
        <f t="shared" si="15"/>
        <v>110.79726338481532</v>
      </c>
      <c r="D71" s="183">
        <f t="shared" si="29"/>
        <v>0.28999999999999027</v>
      </c>
      <c r="E71" s="183">
        <f t="shared" ref="E71:E76" si="30">100*(B71/B$70-1)</f>
        <v>0.28999999999999027</v>
      </c>
      <c r="F71" s="184">
        <f t="shared" ref="F71:F76" si="31">(100*(B71/B59-1))</f>
        <v>6.4814478931091157</v>
      </c>
      <c r="G71" s="185">
        <f t="shared" si="21"/>
        <v>10.521819597656057</v>
      </c>
      <c r="H71" s="174">
        <f>+B$211/B71</f>
        <v>1.8396778765686195</v>
      </c>
    </row>
    <row r="72" spans="1:8" ht="15" hidden="1">
      <c r="A72" s="237" t="s">
        <v>177</v>
      </c>
      <c r="B72" s="193">
        <f>[118]PLANCUSr!$H$194</f>
        <v>0.17896771722211741</v>
      </c>
      <c r="C72" s="165">
        <f t="shared" si="15"/>
        <v>111.50636587047815</v>
      </c>
      <c r="D72" s="183">
        <f t="shared" ref="D72:D77" si="32">100*(B72/B71-1)</f>
        <v>0.63999999999999613</v>
      </c>
      <c r="E72" s="183">
        <f t="shared" si="30"/>
        <v>0.93185599999998647</v>
      </c>
      <c r="F72" s="184">
        <f t="shared" si="31"/>
        <v>6.4497160620095473</v>
      </c>
      <c r="G72" s="185">
        <f t="shared" si="21"/>
        <v>10.678860372366984</v>
      </c>
      <c r="H72" s="174">
        <f>+B$211/B72</f>
        <v>1.827978812170727</v>
      </c>
    </row>
    <row r="73" spans="1:8" ht="15" hidden="1">
      <c r="A73" s="237" t="s">
        <v>178</v>
      </c>
      <c r="B73" s="193">
        <f>[119]PLANCUSr!$H$150</f>
        <v>0.17954041391722819</v>
      </c>
      <c r="C73" s="165">
        <f t="shared" si="15"/>
        <v>111.86318624126366</v>
      </c>
      <c r="D73" s="183">
        <f t="shared" si="32"/>
        <v>0.32000000000000917</v>
      </c>
      <c r="E73" s="183">
        <f t="shared" si="30"/>
        <v>1.254837939199982</v>
      </c>
      <c r="F73" s="184">
        <f t="shared" si="31"/>
        <v>6.2590997643092283</v>
      </c>
      <c r="G73" s="185">
        <f t="shared" si="21"/>
        <v>10.759046216673784</v>
      </c>
      <c r="H73" s="174">
        <f>+B$211/B73</f>
        <v>1.8221479387666735</v>
      </c>
    </row>
    <row r="74" spans="1:8" ht="15" hidden="1">
      <c r="A74" s="237" t="s">
        <v>179</v>
      </c>
      <c r="B74" s="193">
        <f>[120]PLANCUSr!$H$150</f>
        <v>0.17989949474506264</v>
      </c>
      <c r="C74" s="165">
        <f t="shared" si="15"/>
        <v>112.08691261374619</v>
      </c>
      <c r="D74" s="183">
        <f t="shared" si="32"/>
        <v>0.20000000000000018</v>
      </c>
      <c r="E74" s="183">
        <f t="shared" si="30"/>
        <v>1.4573476150783859</v>
      </c>
      <c r="F74" s="184">
        <f t="shared" si="31"/>
        <v>5.9313679871036085</v>
      </c>
      <c r="G74" s="185">
        <f t="shared" si="21"/>
        <v>10.571293635563993</v>
      </c>
      <c r="H74" s="174">
        <f>+B$211/B74</f>
        <v>1.818510916932808</v>
      </c>
    </row>
    <row r="75" spans="1:8" ht="15" hidden="1">
      <c r="A75" s="237" t="s">
        <v>180</v>
      </c>
      <c r="B75" s="193">
        <f>[121]PLANCUSr!$H$150</f>
        <v>0.17962964550294505</v>
      </c>
      <c r="C75" s="165">
        <f t="shared" si="15"/>
        <v>111.91878224482556</v>
      </c>
      <c r="D75" s="183">
        <f t="shared" si="32"/>
        <v>-0.14999999999999458</v>
      </c>
      <c r="E75" s="183">
        <f t="shared" si="30"/>
        <v>1.3051615936557681</v>
      </c>
      <c r="F75" s="184">
        <f t="shared" si="31"/>
        <v>5.0998320102572992</v>
      </c>
      <c r="G75" s="185">
        <f t="shared" si="21"/>
        <v>10.337620087804078</v>
      </c>
      <c r="H75" s="174">
        <f>+B$211/B75</f>
        <v>1.8212427811044647</v>
      </c>
    </row>
    <row r="76" spans="1:8" ht="15" hidden="1">
      <c r="A76" s="237" t="s">
        <v>181</v>
      </c>
      <c r="B76" s="193">
        <f>[122]PLANCUSr!$H$150</f>
        <v>0.18070742337596271</v>
      </c>
      <c r="C76" s="165">
        <f t="shared" si="15"/>
        <v>112.59029493829452</v>
      </c>
      <c r="D76" s="183">
        <f t="shared" si="32"/>
        <v>0.60000000000000053</v>
      </c>
      <c r="E76" s="183">
        <f t="shared" si="30"/>
        <v>1.9129925632177081</v>
      </c>
      <c r="F76" s="184">
        <f t="shared" si="31"/>
        <v>4.7250703271779271</v>
      </c>
      <c r="G76" s="185">
        <f t="shared" si="21"/>
        <v>10.999645808330904</v>
      </c>
      <c r="H76" s="174">
        <f>+B$211/B76</f>
        <v>1.8103804981157701</v>
      </c>
    </row>
    <row r="77" spans="1:8" ht="15" hidden="1">
      <c r="A77" s="237" t="s">
        <v>182</v>
      </c>
      <c r="B77" s="193">
        <f>[123]PLANCUSr!$H$150</f>
        <v>0.18146639455414176</v>
      </c>
      <c r="C77" s="165">
        <f t="shared" si="15"/>
        <v>113.06317417703538</v>
      </c>
      <c r="D77" s="183">
        <f t="shared" si="32"/>
        <v>0.41999999999999815</v>
      </c>
      <c r="E77" s="183">
        <f t="shared" ref="E77:E82" si="33">100*(B77/B$70-1)</f>
        <v>2.3410271319832088</v>
      </c>
      <c r="F77" s="184">
        <f t="shared" ref="F77:F82" si="34">(100*(B77/B65-1))</f>
        <v>4.2165450624834788</v>
      </c>
      <c r="G77" s="185">
        <f t="shared" si="21"/>
        <v>11.445369731114031</v>
      </c>
      <c r="H77" s="174">
        <f>+B$211/B77</f>
        <v>1.8028087015691794</v>
      </c>
    </row>
    <row r="78" spans="1:8" ht="15" hidden="1">
      <c r="A78" s="237" t="s">
        <v>183</v>
      </c>
      <c r="B78" s="193">
        <f>[124]PLANCUSr!$H$150</f>
        <v>0.18188376726161629</v>
      </c>
      <c r="C78" s="165">
        <f t="shared" si="15"/>
        <v>113.32321947764254</v>
      </c>
      <c r="D78" s="183">
        <f t="shared" ref="D78:D83" si="35">100*(B78/B77-1)</f>
        <v>0.22999999999999687</v>
      </c>
      <c r="E78" s="183">
        <f t="shared" si="33"/>
        <v>2.5764114943867877</v>
      </c>
      <c r="F78" s="184">
        <f t="shared" si="34"/>
        <v>3.8538905509317933</v>
      </c>
      <c r="G78" s="185">
        <f t="shared" ref="G78:G100" si="36">100*(B78/B54-1)</f>
        <v>11.345388837216564</v>
      </c>
      <c r="H78" s="174">
        <f>+B$211/B78</f>
        <v>1.7986717565291623</v>
      </c>
    </row>
    <row r="79" spans="1:8" ht="15" hidden="1">
      <c r="A79" s="237" t="s">
        <v>184</v>
      </c>
      <c r="B79" s="193">
        <f>[125]PLANCUSr!$H$150</f>
        <v>0.18202927427542556</v>
      </c>
      <c r="C79" s="165">
        <f t="shared" si="15"/>
        <v>113.41387805322464</v>
      </c>
      <c r="D79" s="183">
        <f t="shared" si="35"/>
        <v>7.9999999999991189E-2</v>
      </c>
      <c r="E79" s="183">
        <f t="shared" si="33"/>
        <v>2.6584726235822753</v>
      </c>
      <c r="F79" s="184">
        <f t="shared" si="34"/>
        <v>3.7191634201901191</v>
      </c>
      <c r="G79" s="185">
        <f t="shared" si="36"/>
        <v>11.135356831455256</v>
      </c>
      <c r="H79" s="174">
        <f>+B$211/B79</f>
        <v>1.7972339693536796</v>
      </c>
    </row>
    <row r="80" spans="1:8" ht="15" hidden="1">
      <c r="A80" s="237" t="s">
        <v>185</v>
      </c>
      <c r="B80" s="193">
        <f>[126]PLANCUSr!$H$150</f>
        <v>0.18232052111426625</v>
      </c>
      <c r="C80" s="165">
        <f t="shared" si="15"/>
        <v>113.59534025810981</v>
      </c>
      <c r="D80" s="183">
        <f t="shared" si="35"/>
        <v>0.16000000000000458</v>
      </c>
      <c r="E80" s="183">
        <f t="shared" si="33"/>
        <v>2.8227261797800107</v>
      </c>
      <c r="F80" s="184">
        <f t="shared" si="34"/>
        <v>3.72951980195948</v>
      </c>
      <c r="G80" s="185">
        <f t="shared" si="36"/>
        <v>11.035584441282364</v>
      </c>
      <c r="H80" s="174">
        <f>+B$211/B80</f>
        <v>1.7943629885719645</v>
      </c>
    </row>
    <row r="81" spans="1:8" ht="15" hidden="1">
      <c r="A81" s="237" t="s">
        <v>186</v>
      </c>
      <c r="B81" s="193">
        <f>[127]PLANCUSr!$H$150</f>
        <v>0.18275809036494048</v>
      </c>
      <c r="C81" s="165">
        <f t="shared" si="15"/>
        <v>113.86796907472927</v>
      </c>
      <c r="D81" s="183">
        <f t="shared" si="35"/>
        <v>0.23999999999999577</v>
      </c>
      <c r="E81" s="183">
        <f t="shared" si="33"/>
        <v>3.0695007226114734</v>
      </c>
      <c r="F81" s="184">
        <f t="shared" si="34"/>
        <v>3.4611648253574101</v>
      </c>
      <c r="G81" s="185">
        <f t="shared" si="36"/>
        <v>10.969162356870843</v>
      </c>
      <c r="H81" s="174">
        <f>+B$211/B81</f>
        <v>1.7900668281843222</v>
      </c>
    </row>
    <row r="82" spans="1:8" ht="15" hidden="1">
      <c r="A82" s="237" t="s">
        <v>187</v>
      </c>
      <c r="B82" s="193">
        <f>[128]PLANCUSr!$H$150</f>
        <v>0.18343429529929076</v>
      </c>
      <c r="C82" s="165">
        <f t="shared" si="15"/>
        <v>114.28928056030576</v>
      </c>
      <c r="D82" s="183">
        <f t="shared" si="35"/>
        <v>0.37000000000000366</v>
      </c>
      <c r="E82" s="183">
        <f t="shared" si="33"/>
        <v>3.4508578752851404</v>
      </c>
      <c r="F82" s="184">
        <f t="shared" si="34"/>
        <v>3.4508578752851404</v>
      </c>
      <c r="G82" s="185">
        <f t="shared" si="36"/>
        <v>10.902865934074724</v>
      </c>
      <c r="H82" s="174">
        <f>+B$211/B82</f>
        <v>1.7834679965969136</v>
      </c>
    </row>
    <row r="83" spans="1:8" ht="15" hidden="1">
      <c r="A83" s="237" t="s">
        <v>188</v>
      </c>
      <c r="B83" s="193">
        <f>[129]PLANCUSr!$H$150</f>
        <v>0.18387453760800904</v>
      </c>
      <c r="C83" s="165">
        <f t="shared" si="15"/>
        <v>114.56357483365048</v>
      </c>
      <c r="D83" s="183">
        <f t="shared" si="35"/>
        <v>0.23999999999999577</v>
      </c>
      <c r="E83" s="183">
        <f t="shared" ref="E83:E88" si="37">100*(B83/B$82-1)</f>
        <v>0.23999999999999577</v>
      </c>
      <c r="F83" s="184">
        <f t="shared" ref="F83:F88" si="38">(100*(B83/B71-1))</f>
        <v>3.3992820163384341</v>
      </c>
      <c r="G83" s="185">
        <f t="shared" si="36"/>
        <v>10.101052602076365</v>
      </c>
      <c r="H83" s="174">
        <f>+B$211/B83</f>
        <v>1.7791979215851095</v>
      </c>
    </row>
    <row r="84" spans="1:8" ht="15" hidden="1">
      <c r="A84" s="237" t="s">
        <v>189</v>
      </c>
      <c r="B84" s="193">
        <f>[130]PLANCUSr!$H$150</f>
        <v>0.1854190837239163</v>
      </c>
      <c r="C84" s="165">
        <f t="shared" si="15"/>
        <v>115.52590886225316</v>
      </c>
      <c r="D84" s="183">
        <f t="shared" ref="D84:D89" si="39">100*(B84/B83-1)</f>
        <v>0.83999999999999631</v>
      </c>
      <c r="E84" s="183">
        <f t="shared" si="37"/>
        <v>1.0820159999999746</v>
      </c>
      <c r="F84" s="184">
        <f t="shared" si="38"/>
        <v>3.6047654861642409</v>
      </c>
      <c r="G84" s="185">
        <f t="shared" si="36"/>
        <v>10.286978686732695</v>
      </c>
      <c r="H84" s="174">
        <f>+B$211/B84</f>
        <v>1.7643771534957453</v>
      </c>
    </row>
    <row r="85" spans="1:8" ht="15" hidden="1">
      <c r="A85" s="237" t="s">
        <v>190</v>
      </c>
      <c r="B85" s="193">
        <f>[131]PLANCUSr!$H$150</f>
        <v>0.18671701730998369</v>
      </c>
      <c r="C85" s="165">
        <f t="shared" si="15"/>
        <v>116.3345902242889</v>
      </c>
      <c r="D85" s="183">
        <f t="shared" si="39"/>
        <v>0.69999999999998952</v>
      </c>
      <c r="E85" s="183">
        <f t="shared" si="37"/>
        <v>1.7895901119999724</v>
      </c>
      <c r="F85" s="184">
        <f t="shared" si="38"/>
        <v>3.997207779672407</v>
      </c>
      <c r="G85" s="185">
        <f t="shared" si="36"/>
        <v>10.50649676669806</v>
      </c>
      <c r="H85" s="174">
        <f>+B$211/B85</f>
        <v>1.7521123669272547</v>
      </c>
    </row>
    <row r="86" spans="1:8" ht="15" hidden="1">
      <c r="A86" s="237" t="s">
        <v>191</v>
      </c>
      <c r="B86" s="193">
        <f>[132]PLANCUSr!$H$150</f>
        <v>0.1880427081328846</v>
      </c>
      <c r="C86" s="165">
        <f t="shared" si="15"/>
        <v>117.16056581488138</v>
      </c>
      <c r="D86" s="183">
        <f t="shared" si="39"/>
        <v>0.71000000000001062</v>
      </c>
      <c r="E86" s="183">
        <f t="shared" si="37"/>
        <v>2.5122962017951833</v>
      </c>
      <c r="F86" s="184">
        <f t="shared" si="38"/>
        <v>4.526534885137834</v>
      </c>
      <c r="G86" s="185">
        <f t="shared" si="36"/>
        <v>10.726388313343559</v>
      </c>
      <c r="H86" s="174">
        <f>+B$211/B86</f>
        <v>1.7397600704272214</v>
      </c>
    </row>
    <row r="87" spans="1:8" ht="15" hidden="1">
      <c r="A87" s="237" t="s">
        <v>192</v>
      </c>
      <c r="B87" s="193">
        <f>[133]PLANCUSr!$H$150</f>
        <v>0.18941541990225466</v>
      </c>
      <c r="C87" s="165">
        <f t="shared" si="15"/>
        <v>118.01583794533001</v>
      </c>
      <c r="D87" s="183">
        <f t="shared" si="39"/>
        <v>0.73000000000000842</v>
      </c>
      <c r="E87" s="183">
        <f t="shared" si="37"/>
        <v>3.2606359640682925</v>
      </c>
      <c r="F87" s="184">
        <f t="shared" si="38"/>
        <v>5.447750215122027</v>
      </c>
      <c r="G87" s="185">
        <f t="shared" si="36"/>
        <v>10.825408334688969</v>
      </c>
      <c r="H87" s="174">
        <f>+B$211/B87</f>
        <v>1.7271518618358197</v>
      </c>
    </row>
    <row r="88" spans="1:8" ht="15" hidden="1">
      <c r="A88" s="237" t="s">
        <v>193</v>
      </c>
      <c r="B88" s="193">
        <f>[134]PLANCUSr!$H$150</f>
        <v>0.19022990620783434</v>
      </c>
      <c r="C88" s="165">
        <f t="shared" si="15"/>
        <v>118.52330604849492</v>
      </c>
      <c r="D88" s="183">
        <f t="shared" si="39"/>
        <v>0.42999999999999705</v>
      </c>
      <c r="E88" s="183">
        <f t="shared" si="37"/>
        <v>3.7046566987137819</v>
      </c>
      <c r="F88" s="184">
        <f t="shared" si="38"/>
        <v>5.2695581918956735</v>
      </c>
      <c r="G88" s="185">
        <f t="shared" si="36"/>
        <v>10.243618849572233</v>
      </c>
      <c r="H88" s="174">
        <f>+B$211/B88</f>
        <v>1.7197569071351388</v>
      </c>
    </row>
    <row r="89" spans="1:8" ht="15" hidden="1">
      <c r="A89" s="237" t="s">
        <v>194</v>
      </c>
      <c r="B89" s="193">
        <f>[135]PLANCUSr!$H$150</f>
        <v>0.19002065331100573</v>
      </c>
      <c r="C89" s="165">
        <f t="shared" si="15"/>
        <v>118.39293041184159</v>
      </c>
      <c r="D89" s="183">
        <f t="shared" si="39"/>
        <v>-0.10999999999998789</v>
      </c>
      <c r="E89" s="183">
        <f t="shared" ref="E89:E94" si="40">100*(B89/B$82-1)</f>
        <v>3.5905815763451976</v>
      </c>
      <c r="F89" s="184">
        <f t="shared" ref="F89:F100" si="41">(100*(B89/B77-1))</f>
        <v>4.7139630331453741</v>
      </c>
      <c r="G89" s="185">
        <f t="shared" si="36"/>
        <v>9.1292744711502394</v>
      </c>
      <c r="H89" s="174">
        <f>+B$211/B89</f>
        <v>1.7216507229303621</v>
      </c>
    </row>
    <row r="90" spans="1:8" ht="15" hidden="1">
      <c r="A90" s="237" t="s">
        <v>195</v>
      </c>
      <c r="B90" s="193">
        <f>[136]PLANCUSr!$H$150</f>
        <v>0.18988763885368803</v>
      </c>
      <c r="C90" s="165">
        <f t="shared" si="15"/>
        <v>118.31005536055329</v>
      </c>
      <c r="D90" s="183">
        <f t="shared" ref="D90:D95" si="42">100*(B90/B89-1)</f>
        <v>-6.9999999999992291E-2</v>
      </c>
      <c r="E90" s="183">
        <f t="shared" si="40"/>
        <v>3.5180681692417615</v>
      </c>
      <c r="F90" s="184">
        <f t="shared" si="41"/>
        <v>4.4005420123936601</v>
      </c>
      <c r="G90" s="185">
        <f t="shared" si="36"/>
        <v>8.424024636130877</v>
      </c>
      <c r="H90" s="174">
        <f>+B$211/B90</f>
        <v>1.7228567226362075</v>
      </c>
    </row>
    <row r="91" spans="1:8" ht="15" hidden="1">
      <c r="A91" s="237" t="s">
        <v>196</v>
      </c>
      <c r="B91" s="193">
        <f>[137]PLANCUSr!$H$150</f>
        <v>0.18975471750649045</v>
      </c>
      <c r="C91" s="165">
        <f t="shared" si="15"/>
        <v>118.22723832180091</v>
      </c>
      <c r="D91" s="183">
        <f t="shared" si="42"/>
        <v>-7.0000000000003393E-2</v>
      </c>
      <c r="E91" s="183">
        <f t="shared" si="40"/>
        <v>3.4456055215232873</v>
      </c>
      <c r="F91" s="184">
        <f t="shared" si="41"/>
        <v>4.2440663798811062</v>
      </c>
      <c r="G91" s="185">
        <f t="shared" si="36"/>
        <v>8.1210735644003496</v>
      </c>
      <c r="H91" s="174">
        <f>+B$211/B91</f>
        <v>1.7240635671332007</v>
      </c>
    </row>
    <row r="92" spans="1:8" ht="15" hidden="1">
      <c r="A92" s="237" t="s">
        <v>197</v>
      </c>
      <c r="B92" s="193">
        <f>[138]PLANCUSr!$H$150</f>
        <v>0.1907793929810255</v>
      </c>
      <c r="C92" s="165">
        <f t="shared" si="15"/>
        <v>118.86566540873862</v>
      </c>
      <c r="D92" s="183">
        <f t="shared" si="42"/>
        <v>0.54000000000000714</v>
      </c>
      <c r="E92" s="183">
        <f t="shared" si="40"/>
        <v>4.0042117913395181</v>
      </c>
      <c r="F92" s="184">
        <f t="shared" si="41"/>
        <v>4.6395610406673837</v>
      </c>
      <c r="G92" s="185">
        <f t="shared" si="36"/>
        <v>8.5421141903625717</v>
      </c>
      <c r="H92" s="174">
        <f>+B$211/B92</f>
        <v>1.7148036275444605</v>
      </c>
    </row>
    <row r="93" spans="1:8" ht="15" hidden="1">
      <c r="A93" s="237" t="s">
        <v>198</v>
      </c>
      <c r="B93" s="193">
        <f>[139]PLANCUSr!$H$150</f>
        <v>0.19253456339645095</v>
      </c>
      <c r="C93" s="165">
        <f t="shared" si="15"/>
        <v>119.95922953049903</v>
      </c>
      <c r="D93" s="183">
        <f t="shared" si="42"/>
        <v>0.9200000000000097</v>
      </c>
      <c r="E93" s="183">
        <f t="shared" si="40"/>
        <v>4.9610505398198335</v>
      </c>
      <c r="F93" s="184">
        <f t="shared" si="41"/>
        <v>5.3494064268171826</v>
      </c>
      <c r="G93" s="185">
        <f t="shared" si="36"/>
        <v>8.9957230257849972</v>
      </c>
      <c r="H93" s="174">
        <f>+B$211/B93</f>
        <v>1.6991712520258229</v>
      </c>
    </row>
    <row r="94" spans="1:8" ht="15" hidden="1">
      <c r="A94" s="237" t="s">
        <v>199</v>
      </c>
      <c r="B94" s="193">
        <f>[140]PLANCUSr!$H$150</f>
        <v>0.19451766939943438</v>
      </c>
      <c r="C94" s="165">
        <f t="shared" si="15"/>
        <v>121.19480959466317</v>
      </c>
      <c r="D94" s="183">
        <f t="shared" si="42"/>
        <v>1.0299999999999976</v>
      </c>
      <c r="E94" s="183">
        <f t="shared" si="40"/>
        <v>6.0421493603799892</v>
      </c>
      <c r="F94" s="184">
        <f t="shared" si="41"/>
        <v>6.0421493603799892</v>
      </c>
      <c r="G94" s="185">
        <f t="shared" si="36"/>
        <v>9.7015132227042944</v>
      </c>
      <c r="H94" s="174">
        <f>+B$211/B94</f>
        <v>1.6818482154071297</v>
      </c>
    </row>
    <row r="95" spans="1:8" ht="16.5" customHeight="1">
      <c r="A95" s="189" t="s">
        <v>200</v>
      </c>
      <c r="B95" s="193">
        <f>[141]PLANCUSr!$H$150</f>
        <v>0.19568477541583099</v>
      </c>
      <c r="C95" s="165">
        <f t="shared" si="15"/>
        <v>121.92197845223114</v>
      </c>
      <c r="D95" s="166">
        <f t="shared" si="42"/>
        <v>0.60000000000000053</v>
      </c>
      <c r="E95" s="166">
        <f t="shared" ref="E95:E100" si="43">100*(B95/B$94-1)</f>
        <v>0.60000000000000053</v>
      </c>
      <c r="F95" s="169">
        <f t="shared" si="41"/>
        <v>6.4229870875321948</v>
      </c>
      <c r="G95" s="170">
        <f t="shared" si="36"/>
        <v>10.040604548848853</v>
      </c>
      <c r="H95" s="174">
        <f>+B$211/B95</f>
        <v>1.6718173115379023</v>
      </c>
    </row>
    <row r="96" spans="1:8" ht="16.5" customHeight="1">
      <c r="A96" s="189" t="s">
        <v>201</v>
      </c>
      <c r="B96" s="193">
        <f>[142]PLANCUSr!$H$150</f>
        <v>0.19752421230473982</v>
      </c>
      <c r="C96" s="165">
        <f t="shared" si="15"/>
        <v>123.06804504968213</v>
      </c>
      <c r="D96" s="166">
        <f t="shared" ref="D96:D101" si="44">100*(B96/B95-1)</f>
        <v>0.9400000000000075</v>
      </c>
      <c r="E96" s="166">
        <f t="shared" si="43"/>
        <v>1.5456400000000148</v>
      </c>
      <c r="F96" s="169">
        <f t="shared" si="41"/>
        <v>6.5285235681822762</v>
      </c>
      <c r="G96" s="170">
        <f t="shared" si="36"/>
        <v>10.368627018688459</v>
      </c>
      <c r="H96" s="174">
        <f>+B$211/B96</f>
        <v>1.6562485749335267</v>
      </c>
    </row>
    <row r="97" spans="1:8" ht="16.5" customHeight="1">
      <c r="A97" s="189" t="s">
        <v>202</v>
      </c>
      <c r="B97" s="193">
        <f>[143]PLANCUSr!$H$150</f>
        <v>0.19859084305118543</v>
      </c>
      <c r="C97" s="165">
        <f t="shared" si="15"/>
        <v>123.73261249295042</v>
      </c>
      <c r="D97" s="166">
        <f t="shared" si="44"/>
        <v>0.54000000000000714</v>
      </c>
      <c r="E97" s="166">
        <f t="shared" si="43"/>
        <v>2.0939864560000299</v>
      </c>
      <c r="F97" s="169">
        <f t="shared" si="41"/>
        <v>6.3592627561573911</v>
      </c>
      <c r="G97" s="170">
        <f t="shared" si="36"/>
        <v>10.610663481448746</v>
      </c>
      <c r="H97" s="174">
        <f t="shared" ref="H97:H160" si="45">+B$211/B97</f>
        <v>1.6473528694385584</v>
      </c>
    </row>
    <row r="98" spans="1:8" ht="16.5" customHeight="1">
      <c r="A98" s="189" t="s">
        <v>203</v>
      </c>
      <c r="B98" s="193">
        <f>[144]PLANCUSr!$H$150</f>
        <v>0.19990154261532325</v>
      </c>
      <c r="C98" s="165">
        <f t="shared" si="15"/>
        <v>124.5492477354039</v>
      </c>
      <c r="D98" s="166">
        <f t="shared" si="44"/>
        <v>0.65999999999999392</v>
      </c>
      <c r="E98" s="166">
        <f t="shared" si="43"/>
        <v>2.7678067666096151</v>
      </c>
      <c r="F98" s="169">
        <f t="shared" si="41"/>
        <v>6.3064580382762525</v>
      </c>
      <c r="G98" s="170">
        <f t="shared" si="36"/>
        <v>11.118456946533239</v>
      </c>
      <c r="H98" s="174">
        <f t="shared" si="45"/>
        <v>1.6365516286892097</v>
      </c>
    </row>
    <row r="99" spans="1:8" ht="16.5" customHeight="1">
      <c r="A99" s="189" t="s">
        <v>204</v>
      </c>
      <c r="B99" s="193">
        <f>[145]PLANCUSr!$H$152</f>
        <v>0.20134083372215361</v>
      </c>
      <c r="C99" s="165">
        <f t="shared" si="15"/>
        <v>125.44600231909882</v>
      </c>
      <c r="D99" s="166">
        <f t="shared" si="44"/>
        <v>0.72000000000000952</v>
      </c>
      <c r="E99" s="166">
        <f t="shared" si="43"/>
        <v>3.5077349753292353</v>
      </c>
      <c r="F99" s="169">
        <f t="shared" si="41"/>
        <v>6.2959044337852266</v>
      </c>
      <c r="G99" s="170">
        <f t="shared" si="36"/>
        <v>12.086639796242649</v>
      </c>
      <c r="H99" s="174">
        <f t="shared" si="45"/>
        <v>1.6248526893260617</v>
      </c>
    </row>
    <row r="100" spans="1:8" ht="16.5" customHeight="1">
      <c r="A100" s="189" t="s">
        <v>205</v>
      </c>
      <c r="B100" s="193">
        <f>[146]PLANCUSr!$H$152</f>
        <v>0.20248847647436991</v>
      </c>
      <c r="C100" s="165">
        <f t="shared" si="15"/>
        <v>126.16104453231769</v>
      </c>
      <c r="D100" s="166">
        <f t="shared" si="44"/>
        <v>0.57000000000000384</v>
      </c>
      <c r="E100" s="166">
        <f t="shared" si="43"/>
        <v>4.0977290646886155</v>
      </c>
      <c r="F100" s="169">
        <f t="shared" si="41"/>
        <v>6.4440815384425143</v>
      </c>
      <c r="G100" s="170">
        <f t="shared" si="36"/>
        <v>12.053214356939623</v>
      </c>
      <c r="H100" s="174">
        <f t="shared" si="45"/>
        <v>1.6156435212549087</v>
      </c>
    </row>
    <row r="101" spans="1:8" ht="16.5" customHeight="1">
      <c r="A101" s="189" t="s">
        <v>206</v>
      </c>
      <c r="B101" s="193">
        <f>[147]PLANCUSr!$H$152</f>
        <v>0.2029339511226135</v>
      </c>
      <c r="C101" s="165">
        <f t="shared" si="15"/>
        <v>126.43859883028878</v>
      </c>
      <c r="D101" s="166">
        <f t="shared" si="44"/>
        <v>0.21999999999999797</v>
      </c>
      <c r="E101" s="166">
        <f t="shared" ref="E101:E106" si="46">100*(B101/B$94-1)</f>
        <v>4.3267440686309167</v>
      </c>
      <c r="F101" s="169">
        <f t="shared" ref="F101:F106" si="47">(100*(B101/B89-1))</f>
        <v>6.7957338250346222</v>
      </c>
      <c r="G101" s="170">
        <f t="shared" ref="G101:G106" si="48">100*(B101/B77-1)</f>
        <v>11.830045238523068</v>
      </c>
      <c r="H101" s="174">
        <f t="shared" si="45"/>
        <v>1.612096908057183</v>
      </c>
    </row>
    <row r="102" spans="1:8" ht="16.5" customHeight="1">
      <c r="A102" s="189" t="s">
        <v>207</v>
      </c>
      <c r="B102" s="193">
        <f>[148]PLANCUSr!$H$152</f>
        <v>0.2029339511226135</v>
      </c>
      <c r="C102" s="165">
        <f t="shared" si="15"/>
        <v>126.43859883028878</v>
      </c>
      <c r="D102" s="166">
        <f t="shared" ref="D102:D107" si="49">100*(B102/B101-1)</f>
        <v>0</v>
      </c>
      <c r="E102" s="166">
        <f t="shared" si="46"/>
        <v>4.3267440686309167</v>
      </c>
      <c r="F102" s="169">
        <f t="shared" si="47"/>
        <v>6.8705432052783122</v>
      </c>
      <c r="G102" s="170">
        <f t="shared" si="48"/>
        <v>11.573426357899908</v>
      </c>
      <c r="H102" s="174">
        <f t="shared" si="45"/>
        <v>1.612096908057183</v>
      </c>
    </row>
    <row r="103" spans="1:8" ht="16.5" customHeight="1">
      <c r="A103" s="189" t="s">
        <v>208</v>
      </c>
      <c r="B103" s="193">
        <f>[149]PLANCUSr!$H$152</f>
        <v>0.20378627371732846</v>
      </c>
      <c r="C103" s="165">
        <f t="shared" si="15"/>
        <v>126.96964094537599</v>
      </c>
      <c r="D103" s="166">
        <f t="shared" si="49"/>
        <v>0.41999999999999815</v>
      </c>
      <c r="E103" s="166">
        <f t="shared" si="46"/>
        <v>4.7649163937191652</v>
      </c>
      <c r="F103" s="169">
        <f t="shared" si="47"/>
        <v>7.3945756897232817</v>
      </c>
      <c r="G103" s="170">
        <f t="shared" si="48"/>
        <v>11.95247277038678</v>
      </c>
      <c r="H103" s="174">
        <f t="shared" si="45"/>
        <v>1.6053544194953029</v>
      </c>
    </row>
    <row r="104" spans="1:8" ht="16.5" customHeight="1">
      <c r="A104" s="189" t="s">
        <v>209</v>
      </c>
      <c r="B104" s="193">
        <f>[150]PLANCUSr!$H$152</f>
        <v>0.20470331194905644</v>
      </c>
      <c r="C104" s="165">
        <f t="shared" si="15"/>
        <v>127.54100432963017</v>
      </c>
      <c r="D104" s="166">
        <f t="shared" si="49"/>
        <v>0.44999999999999485</v>
      </c>
      <c r="E104" s="166">
        <f t="shared" si="46"/>
        <v>5.2363585174908911</v>
      </c>
      <c r="F104" s="169">
        <f t="shared" si="47"/>
        <v>7.298439705915083</v>
      </c>
      <c r="G104" s="170">
        <f t="shared" si="48"/>
        <v>12.276616311754719</v>
      </c>
      <c r="H104" s="174">
        <f t="shared" si="45"/>
        <v>1.5981626874019939</v>
      </c>
    </row>
    <row r="105" spans="1:8" ht="16.5" customHeight="1">
      <c r="A105" s="189" t="s">
        <v>210</v>
      </c>
      <c r="B105" s="193">
        <f>[151]PLANCUSr!$H$152</f>
        <v>0.20535836254729345</v>
      </c>
      <c r="C105" s="165">
        <f t="shared" si="15"/>
        <v>127.94913554348503</v>
      </c>
      <c r="D105" s="166">
        <f t="shared" si="49"/>
        <v>0.32000000000000917</v>
      </c>
      <c r="E105" s="166">
        <f t="shared" si="46"/>
        <v>5.5731148647468753</v>
      </c>
      <c r="F105" s="169">
        <f t="shared" si="47"/>
        <v>6.6605179478537613</v>
      </c>
      <c r="G105" s="170">
        <f t="shared" si="48"/>
        <v>12.36622254983275</v>
      </c>
      <c r="H105" s="174">
        <f t="shared" si="45"/>
        <v>1.5930648797866762</v>
      </c>
    </row>
    <row r="106" spans="1:8" ht="16.5" customHeight="1">
      <c r="A106" s="189" t="s">
        <v>211</v>
      </c>
      <c r="B106" s="193">
        <f>[152]PLANCUSr!$H$152</f>
        <v>0.20652890521381304</v>
      </c>
      <c r="C106" s="165">
        <f t="shared" si="15"/>
        <v>128.67844561608288</v>
      </c>
      <c r="D106" s="166">
        <f t="shared" si="49"/>
        <v>0.57000000000000384</v>
      </c>
      <c r="E106" s="166">
        <f t="shared" si="46"/>
        <v>6.174881619475947</v>
      </c>
      <c r="F106" s="169">
        <f t="shared" si="47"/>
        <v>6.174881619475947</v>
      </c>
      <c r="G106" s="170">
        <f t="shared" si="48"/>
        <v>12.59012655013132</v>
      </c>
      <c r="H106" s="174">
        <f t="shared" si="45"/>
        <v>1.5840358752974806</v>
      </c>
    </row>
    <row r="107" spans="1:8" ht="16.5" customHeight="1">
      <c r="A107" s="189" t="s">
        <v>212</v>
      </c>
      <c r="B107" s="193">
        <f>[153]PLANCUSr!$H$166</f>
        <v>0.2075822026304035</v>
      </c>
      <c r="C107" s="165">
        <f t="shared" ref="C107:C112" si="50">100*B107/B$8</f>
        <v>129.33470568872491</v>
      </c>
      <c r="D107" s="166">
        <f t="shared" si="49"/>
        <v>0.51000000000001044</v>
      </c>
      <c r="E107" s="166">
        <f t="shared" ref="E107:E112" si="51">100*(B107/B$106-1)</f>
        <v>0.51000000000001044</v>
      </c>
      <c r="F107" s="169">
        <f t="shared" ref="F107:F112" si="52">(100*(B107/B95-1))</f>
        <v>6.0798941508303006</v>
      </c>
      <c r="G107" s="170">
        <f t="shared" ref="G107:G112" si="53">100*(B107/B83-1)</f>
        <v>12.893392054605957</v>
      </c>
      <c r="H107" s="174">
        <f t="shared" si="45"/>
        <v>1.5759982840488314</v>
      </c>
    </row>
    <row r="108" spans="1:8" ht="16.5" customHeight="1">
      <c r="A108" s="189" t="s">
        <v>213</v>
      </c>
      <c r="B108" s="193">
        <f>[154]PLANCUSr!$H$166</f>
        <v>0.20864087186381858</v>
      </c>
      <c r="C108" s="165">
        <f t="shared" si="50"/>
        <v>129.99431268773745</v>
      </c>
      <c r="D108" s="166">
        <f t="shared" ref="D108:D113" si="54">100*(B108/B107-1)</f>
        <v>0.51000000000001044</v>
      </c>
      <c r="E108" s="166">
        <f t="shared" si="51"/>
        <v>1.022601000000023</v>
      </c>
      <c r="F108" s="169">
        <f t="shared" si="52"/>
        <v>5.6279984257970428</v>
      </c>
      <c r="G108" s="170">
        <f t="shared" si="53"/>
        <v>12.52394719762442</v>
      </c>
      <c r="H108" s="174">
        <f t="shared" si="45"/>
        <v>1.5680014765185863</v>
      </c>
    </row>
    <row r="109" spans="1:8" ht="16.5" customHeight="1">
      <c r="A109" s="189" t="s">
        <v>214</v>
      </c>
      <c r="B109" s="193">
        <f>[155]PLANCUSr!$H$166</f>
        <v>0.20945457126408748</v>
      </c>
      <c r="C109" s="165">
        <f t="shared" si="50"/>
        <v>130.50129050721961</v>
      </c>
      <c r="D109" s="166">
        <f t="shared" si="54"/>
        <v>0.39000000000000146</v>
      </c>
      <c r="E109" s="166">
        <f t="shared" si="51"/>
        <v>1.4165891439000156</v>
      </c>
      <c r="F109" s="169">
        <f t="shared" si="52"/>
        <v>5.4704074195918384</v>
      </c>
      <c r="G109" s="170">
        <f t="shared" si="53"/>
        <v>12.177547757393414</v>
      </c>
      <c r="H109" s="174">
        <f t="shared" si="45"/>
        <v>1.5619100274116808</v>
      </c>
    </row>
    <row r="110" spans="1:8" ht="16.5" customHeight="1">
      <c r="A110" s="189" t="s">
        <v>215</v>
      </c>
      <c r="B110" s="193">
        <f>[156]PLANCUSr!$H$166</f>
        <v>0.20983158949236283</v>
      </c>
      <c r="C110" s="165">
        <f t="shared" si="50"/>
        <v>130.73619283013261</v>
      </c>
      <c r="D110" s="166">
        <f t="shared" si="54"/>
        <v>0.18000000000000238</v>
      </c>
      <c r="E110" s="166">
        <f t="shared" si="51"/>
        <v>1.5991390043590403</v>
      </c>
      <c r="F110" s="169">
        <f t="shared" si="52"/>
        <v>4.9674688584811388</v>
      </c>
      <c r="G110" s="170">
        <f t="shared" si="53"/>
        <v>11.587198235881946</v>
      </c>
      <c r="H110" s="174">
        <f t="shared" si="45"/>
        <v>1.5591036408581362</v>
      </c>
    </row>
    <row r="111" spans="1:8" ht="16.5" customHeight="1">
      <c r="A111" s="189" t="s">
        <v>216</v>
      </c>
      <c r="B111" s="193">
        <f>[157]PLANCUSr!$H$166</f>
        <v>0.21117451166511395</v>
      </c>
      <c r="C111" s="165">
        <f t="shared" si="50"/>
        <v>131.57290446424545</v>
      </c>
      <c r="D111" s="166">
        <f t="shared" si="54"/>
        <v>0.63999999999999613</v>
      </c>
      <c r="E111" s="166">
        <f t="shared" si="51"/>
        <v>2.2493734939869281</v>
      </c>
      <c r="F111" s="169">
        <f t="shared" si="52"/>
        <v>4.884095173923142</v>
      </c>
      <c r="G111" s="170">
        <f t="shared" si="53"/>
        <v>11.487497572313687</v>
      </c>
      <c r="H111" s="174">
        <f t="shared" si="45"/>
        <v>1.5491888323312164</v>
      </c>
    </row>
    <row r="112" spans="1:8" ht="16.5" customHeight="1">
      <c r="A112" s="189" t="s">
        <v>217</v>
      </c>
      <c r="B112" s="193">
        <f>[158]PLANCUSr!$H$166</f>
        <v>0.21233597147927208</v>
      </c>
      <c r="C112" s="165">
        <f t="shared" si="50"/>
        <v>132.29655543879878</v>
      </c>
      <c r="D112" s="166">
        <f t="shared" si="54"/>
        <v>0.55000000000000604</v>
      </c>
      <c r="E112" s="166">
        <f t="shared" si="51"/>
        <v>2.8117450482038731</v>
      </c>
      <c r="F112" s="169">
        <f t="shared" si="52"/>
        <v>4.8632372450827521</v>
      </c>
      <c r="G112" s="170">
        <f t="shared" si="53"/>
        <v>11.62070975700631</v>
      </c>
      <c r="H112" s="174">
        <f t="shared" si="45"/>
        <v>1.5407149003791312</v>
      </c>
    </row>
    <row r="113" spans="1:8" ht="16.5" customHeight="1">
      <c r="A113" s="189" t="s">
        <v>218</v>
      </c>
      <c r="B113" s="193">
        <f>[159]PLANCUSr!$H$166</f>
        <v>0.21288804500511818</v>
      </c>
      <c r="C113" s="165">
        <f t="shared" ref="C113:C118" si="55">100*B113/B$8</f>
        <v>132.64052648293969</v>
      </c>
      <c r="D113" s="166">
        <f t="shared" si="54"/>
        <v>0.25999999999999357</v>
      </c>
      <c r="E113" s="166">
        <f t="shared" ref="E113:E118" si="56">100*(B113/B$106-1)</f>
        <v>3.0790555853291934</v>
      </c>
      <c r="F113" s="169">
        <f t="shared" ref="F113:F118" si="57">(100*(B113/B101-1))</f>
        <v>4.9050904629015735</v>
      </c>
      <c r="G113" s="170">
        <f t="shared" ref="G113:G118" si="58">100*(B113/B89-1)</f>
        <v>12.034161179672154</v>
      </c>
      <c r="H113" s="174">
        <f t="shared" si="45"/>
        <v>1.5367194298614915</v>
      </c>
    </row>
    <row r="114" spans="1:8" ht="16.5" customHeight="1">
      <c r="A114" s="189" t="s">
        <v>219</v>
      </c>
      <c r="B114" s="193">
        <f>[160]PLANCUSr!$H$166</f>
        <v>0.21380346359864019</v>
      </c>
      <c r="C114" s="165">
        <f t="shared" si="55"/>
        <v>133.21088074681631</v>
      </c>
      <c r="D114" s="166">
        <f t="shared" ref="D114:D119" si="59">100*(B114/B113-1)</f>
        <v>0.42999999999999705</v>
      </c>
      <c r="E114" s="166">
        <f t="shared" si="56"/>
        <v>3.5222955243461085</v>
      </c>
      <c r="F114" s="169">
        <f t="shared" si="57"/>
        <v>5.3561823518920582</v>
      </c>
      <c r="G114" s="170">
        <f t="shared" si="58"/>
        <v>12.594724379810597</v>
      </c>
      <c r="H114" s="174">
        <f t="shared" si="45"/>
        <v>1.5301398285985177</v>
      </c>
    </row>
    <row r="115" spans="1:8" ht="16.5" customHeight="1">
      <c r="A115" s="189" t="s">
        <v>220</v>
      </c>
      <c r="B115" s="193">
        <f>[161]PLANCUSr!$H$166</f>
        <v>0.21476557918483405</v>
      </c>
      <c r="C115" s="165">
        <f t="shared" si="55"/>
        <v>133.81032971017697</v>
      </c>
      <c r="D115" s="166">
        <f t="shared" si="59"/>
        <v>0.44999999999999485</v>
      </c>
      <c r="E115" s="166">
        <f t="shared" si="56"/>
        <v>3.9881458542056603</v>
      </c>
      <c r="F115" s="169">
        <f t="shared" si="57"/>
        <v>5.3876570130208856</v>
      </c>
      <c r="G115" s="170">
        <f t="shared" si="58"/>
        <v>13.180627078474672</v>
      </c>
      <c r="H115" s="174">
        <f t="shared" si="45"/>
        <v>1.523285045892004</v>
      </c>
    </row>
    <row r="116" spans="1:8" ht="16.5" customHeight="1">
      <c r="A116" s="189" t="s">
        <v>221</v>
      </c>
      <c r="B116" s="193">
        <f>[162]PLANCUSr!$H$166</f>
        <v>0.21611860233369851</v>
      </c>
      <c r="C116" s="165">
        <f t="shared" si="55"/>
        <v>134.6533347873511</v>
      </c>
      <c r="D116" s="166">
        <f t="shared" si="59"/>
        <v>0.62999999999999723</v>
      </c>
      <c r="E116" s="166">
        <f t="shared" si="56"/>
        <v>4.6432711730871601</v>
      </c>
      <c r="F116" s="169">
        <f t="shared" si="57"/>
        <v>5.5765049797938504</v>
      </c>
      <c r="G116" s="170">
        <f t="shared" si="58"/>
        <v>13.281942539356528</v>
      </c>
      <c r="H116" s="174">
        <f t="shared" si="45"/>
        <v>1.5137484307781017</v>
      </c>
    </row>
    <row r="117" spans="1:8" ht="16.5" customHeight="1">
      <c r="A117" s="189" t="s">
        <v>222</v>
      </c>
      <c r="B117" s="193">
        <f>[163]PLANCUSr!$H$166</f>
        <v>0.21765304441026778</v>
      </c>
      <c r="C117" s="165">
        <f t="shared" si="55"/>
        <v>135.6093734643413</v>
      </c>
      <c r="D117" s="166">
        <f t="shared" si="59"/>
        <v>0.71000000000001062</v>
      </c>
      <c r="E117" s="166">
        <f t="shared" si="56"/>
        <v>5.3862383984160767</v>
      </c>
      <c r="F117" s="169">
        <f t="shared" si="57"/>
        <v>5.9869399572870519</v>
      </c>
      <c r="G117" s="170">
        <f t="shared" si="58"/>
        <v>13.046219115523151</v>
      </c>
      <c r="H117" s="174">
        <f t="shared" si="45"/>
        <v>1.5030765870103284</v>
      </c>
    </row>
    <row r="118" spans="1:8" ht="16.5" customHeight="1">
      <c r="A118" s="189" t="s">
        <v>223</v>
      </c>
      <c r="B118" s="193">
        <f>[164]PLANCUSr!$H$166</f>
        <v>0.21882837085008325</v>
      </c>
      <c r="C118" s="165">
        <f t="shared" si="55"/>
        <v>136.34166408104875</v>
      </c>
      <c r="D118" s="166">
        <f t="shared" si="59"/>
        <v>0.54000000000000714</v>
      </c>
      <c r="E118" s="166">
        <f t="shared" si="56"/>
        <v>5.9553240857675327</v>
      </c>
      <c r="F118" s="169">
        <f t="shared" si="57"/>
        <v>5.9553240857675327</v>
      </c>
      <c r="G118" s="170">
        <f t="shared" si="58"/>
        <v>12.497939917595758</v>
      </c>
      <c r="H118" s="174">
        <f t="shared" si="45"/>
        <v>1.4950035677445079</v>
      </c>
    </row>
    <row r="119" spans="1:8" ht="16.5" customHeight="1">
      <c r="A119" s="189" t="s">
        <v>224</v>
      </c>
      <c r="B119" s="193">
        <f>[165]PLANCUSr!$H$166</f>
        <v>0.22044770079437387</v>
      </c>
      <c r="C119" s="165">
        <f t="shared" ref="C119:C124" si="60">100*B119/B$8</f>
        <v>137.35059239524853</v>
      </c>
      <c r="D119" s="166">
        <f t="shared" si="59"/>
        <v>0.74000000000000732</v>
      </c>
      <c r="E119" s="166">
        <f t="shared" ref="E119:E124" si="61">100*(B119/B$118-1)</f>
        <v>0.74000000000000732</v>
      </c>
      <c r="F119" s="169">
        <f t="shared" ref="F119:F124" si="62">(100*(B119/B107-1))</f>
        <v>6.197784781615967</v>
      </c>
      <c r="G119" s="170">
        <f t="shared" ref="G119:G124" si="63">100*(B119/B95-1)</f>
        <v>12.654497686864797</v>
      </c>
      <c r="H119" s="174">
        <f t="shared" si="45"/>
        <v>1.4840218063773158</v>
      </c>
    </row>
    <row r="120" spans="1:8" ht="16.5" customHeight="1">
      <c r="A120" s="189" t="s">
        <v>225</v>
      </c>
      <c r="B120" s="193">
        <f>[166]PLANCUSr!$H$166</f>
        <v>0.22247581964168214</v>
      </c>
      <c r="C120" s="165">
        <f t="shared" si="60"/>
        <v>138.61421784528483</v>
      </c>
      <c r="D120" s="166">
        <f t="shared" ref="D120:D125" si="64">100*(B120/B119-1)</f>
        <v>0.9200000000000097</v>
      </c>
      <c r="E120" s="166">
        <f t="shared" si="61"/>
        <v>1.6668080000000085</v>
      </c>
      <c r="F120" s="169">
        <f t="shared" si="62"/>
        <v>6.630986371114167</v>
      </c>
      <c r="G120" s="170">
        <f t="shared" si="63"/>
        <v>12.632176605492319</v>
      </c>
      <c r="H120" s="174">
        <f t="shared" si="45"/>
        <v>1.4704932683088738</v>
      </c>
    </row>
    <row r="121" spans="1:8" ht="16.5" customHeight="1">
      <c r="A121" s="189" t="s">
        <v>226</v>
      </c>
      <c r="B121" s="193">
        <f>[167]PLANCUSr!$H$166</f>
        <v>0.2236326939038189</v>
      </c>
      <c r="C121" s="165">
        <f t="shared" si="60"/>
        <v>139.33501177808031</v>
      </c>
      <c r="D121" s="166">
        <f t="shared" si="64"/>
        <v>0.52000000000000934</v>
      </c>
      <c r="E121" s="166">
        <f t="shared" si="61"/>
        <v>2.1954754016000333</v>
      </c>
      <c r="F121" s="169">
        <f t="shared" si="62"/>
        <v>6.7690681345193182</v>
      </c>
      <c r="G121" s="170">
        <f t="shared" si="63"/>
        <v>12.609771159579154</v>
      </c>
      <c r="H121" s="174">
        <f t="shared" si="45"/>
        <v>1.4628862597581316</v>
      </c>
    </row>
    <row r="122" spans="1:8" ht="16.5" customHeight="1">
      <c r="A122" s="189" t="s">
        <v>227</v>
      </c>
      <c r="B122" s="193">
        <f>[168]PLANCUSr!$H$166</f>
        <v>0.22497449006724182</v>
      </c>
      <c r="C122" s="165">
        <f t="shared" si="60"/>
        <v>140.17102184874878</v>
      </c>
      <c r="D122" s="166">
        <f t="shared" si="64"/>
        <v>0.60000000000000053</v>
      </c>
      <c r="E122" s="166">
        <f t="shared" si="61"/>
        <v>2.8086482540096158</v>
      </c>
      <c r="F122" s="169">
        <f t="shared" si="62"/>
        <v>7.2166924968321444</v>
      </c>
      <c r="G122" s="170">
        <f t="shared" si="63"/>
        <v>12.542648307705772</v>
      </c>
      <c r="H122" s="174">
        <f t="shared" si="45"/>
        <v>1.4541612920060949</v>
      </c>
    </row>
    <row r="123" spans="1:8" ht="16.5" customHeight="1">
      <c r="A123" s="189" t="s">
        <v>228</v>
      </c>
      <c r="B123" s="193">
        <f>[169]PLANCUSr!$H$166</f>
        <v>0.22630183955863856</v>
      </c>
      <c r="C123" s="165">
        <f t="shared" si="60"/>
        <v>140.99803087765642</v>
      </c>
      <c r="D123" s="166">
        <f t="shared" si="64"/>
        <v>0.59000000000000163</v>
      </c>
      <c r="E123" s="166">
        <f t="shared" si="61"/>
        <v>3.4152192787082924</v>
      </c>
      <c r="F123" s="169">
        <f t="shared" si="62"/>
        <v>7.163425062165607</v>
      </c>
      <c r="G123" s="170">
        <f t="shared" si="63"/>
        <v>12.3973887338376</v>
      </c>
      <c r="H123" s="174">
        <f t="shared" si="45"/>
        <v>1.4456320628353663</v>
      </c>
    </row>
    <row r="124" spans="1:8" ht="16.5" customHeight="1">
      <c r="A124" s="189" t="s">
        <v>229</v>
      </c>
      <c r="B124" s="193">
        <f>[170]PLANCUSr!$H$166</f>
        <v>0.22709389599709381</v>
      </c>
      <c r="C124" s="165">
        <f t="shared" si="60"/>
        <v>141.49152398572824</v>
      </c>
      <c r="D124" s="166">
        <f t="shared" si="64"/>
        <v>0.35000000000000586</v>
      </c>
      <c r="E124" s="166">
        <f t="shared" si="61"/>
        <v>3.7771725461837713</v>
      </c>
      <c r="F124" s="169">
        <f t="shared" si="62"/>
        <v>6.9502705617933369</v>
      </c>
      <c r="G124" s="170">
        <f t="shared" si="63"/>
        <v>12.151515953471236</v>
      </c>
      <c r="H124" s="174">
        <f t="shared" si="45"/>
        <v>1.4405899978429157</v>
      </c>
    </row>
    <row r="125" spans="1:8" ht="16.5" customHeight="1">
      <c r="A125" s="189" t="s">
        <v>230</v>
      </c>
      <c r="B125" s="194">
        <f>[171]PLANCUSr!$H$166</f>
        <v>0.22772975890588565</v>
      </c>
      <c r="C125" s="165">
        <f t="shared" ref="C125:C131" si="65">100*B125/B$8</f>
        <v>141.88770025288827</v>
      </c>
      <c r="D125" s="166">
        <f t="shared" si="64"/>
        <v>0.27999999999999137</v>
      </c>
      <c r="E125" s="166">
        <f t="shared" ref="E125:E130" si="66">100*(B125/B$118-1)</f>
        <v>4.0677486293130727</v>
      </c>
      <c r="F125" s="169">
        <f t="shared" ref="F125:F130" si="67">(100*(B125/B113-1))</f>
        <v>6.9716051459867812</v>
      </c>
      <c r="G125" s="170">
        <f t="shared" ref="G125:G130" si="68">100*(B125/B101-1)</f>
        <v>12.21865914801532</v>
      </c>
      <c r="H125" s="174">
        <f t="shared" si="45"/>
        <v>1.4365676085390069</v>
      </c>
    </row>
    <row r="126" spans="1:8" ht="16.5" customHeight="1">
      <c r="A126" s="189" t="s">
        <v>231</v>
      </c>
      <c r="B126" s="194">
        <f>[172]PLANCUSr!$H$166</f>
        <v>0.227433710219308</v>
      </c>
      <c r="C126" s="165">
        <f t="shared" si="65"/>
        <v>141.70324624255949</v>
      </c>
      <c r="D126" s="166">
        <f t="shared" ref="D126:D131" si="69">100*(B126/B125-1)</f>
        <v>-0.12999999999999678</v>
      </c>
      <c r="E126" s="166">
        <f t="shared" si="66"/>
        <v>3.9324605560949744</v>
      </c>
      <c r="F126" s="169">
        <f t="shared" si="67"/>
        <v>6.3751290045773068</v>
      </c>
      <c r="G126" s="170">
        <f t="shared" si="68"/>
        <v>12.072774891122906</v>
      </c>
      <c r="H126" s="174">
        <f t="shared" si="45"/>
        <v>1.4384375773896132</v>
      </c>
    </row>
    <row r="127" spans="1:8" ht="16.5" customHeight="1">
      <c r="A127" s="189" t="s">
        <v>232</v>
      </c>
      <c r="B127" s="194">
        <f>[173]PLANCUSr!$H$166</f>
        <v>0.22779760415565889</v>
      </c>
      <c r="C127" s="165">
        <f t="shared" si="65"/>
        <v>141.92997143654759</v>
      </c>
      <c r="D127" s="166">
        <f t="shared" si="69"/>
        <v>0.16000000000000458</v>
      </c>
      <c r="E127" s="166">
        <f t="shared" si="66"/>
        <v>4.0987524929847252</v>
      </c>
      <c r="F127" s="169">
        <f t="shared" si="67"/>
        <v>6.0680231070031398</v>
      </c>
      <c r="G127" s="170">
        <f t="shared" si="68"/>
        <v>11.782604392500208</v>
      </c>
      <c r="H127" s="174">
        <f t="shared" si="45"/>
        <v>1.4361397537835596</v>
      </c>
    </row>
    <row r="128" spans="1:8" ht="16.5" customHeight="1">
      <c r="A128" s="189" t="s">
        <v>233</v>
      </c>
      <c r="B128" s="194">
        <f>[174]PLANCUSr!$H$166</f>
        <v>0.22841265768687916</v>
      </c>
      <c r="C128" s="165">
        <f t="shared" si="65"/>
        <v>142.31318235942626</v>
      </c>
      <c r="D128" s="166">
        <f t="shared" si="69"/>
        <v>0.26999999999999247</v>
      </c>
      <c r="E128" s="166">
        <f t="shared" si="66"/>
        <v>4.379819124715767</v>
      </c>
      <c r="F128" s="169">
        <f t="shared" si="67"/>
        <v>5.6885687860399825</v>
      </c>
      <c r="G128" s="170">
        <f t="shared" si="68"/>
        <v>11.582297087466342</v>
      </c>
      <c r="H128" s="174">
        <f t="shared" si="45"/>
        <v>1.4322726177157272</v>
      </c>
    </row>
    <row r="129" spans="1:8" ht="16.5" customHeight="1">
      <c r="A129" s="189" t="s">
        <v>234</v>
      </c>
      <c r="B129" s="194">
        <f>[175]PLANCUSr!$H$166</f>
        <v>0.22980597489876911</v>
      </c>
      <c r="C129" s="165">
        <f t="shared" si="65"/>
        <v>143.18129277181876</v>
      </c>
      <c r="D129" s="166">
        <f t="shared" si="69"/>
        <v>0.60999999999999943</v>
      </c>
      <c r="E129" s="166">
        <f t="shared" si="66"/>
        <v>5.0165360213765275</v>
      </c>
      <c r="F129" s="169">
        <f t="shared" si="67"/>
        <v>5.5836253158919824</v>
      </c>
      <c r="G129" s="170">
        <f t="shared" si="68"/>
        <v>11.904853568281371</v>
      </c>
      <c r="H129" s="174">
        <f t="shared" si="45"/>
        <v>1.4235887264841738</v>
      </c>
    </row>
    <row r="130" spans="1:8" ht="16.5" customHeight="1">
      <c r="A130" s="189" t="s">
        <v>235</v>
      </c>
      <c r="B130" s="194">
        <f>[176]PLANCUSr!$H$166</f>
        <v>0.23104692716322248</v>
      </c>
      <c r="C130" s="165">
        <f t="shared" si="65"/>
        <v>143.95447175278659</v>
      </c>
      <c r="D130" s="166">
        <f t="shared" si="69"/>
        <v>0.54000000000000714</v>
      </c>
      <c r="E130" s="166">
        <f t="shared" si="66"/>
        <v>5.5836253158919824</v>
      </c>
      <c r="F130" s="169">
        <f t="shared" si="67"/>
        <v>5.5836253158919824</v>
      </c>
      <c r="G130" s="170">
        <f t="shared" si="68"/>
        <v>11.871472384955851</v>
      </c>
      <c r="H130" s="174">
        <f t="shared" si="45"/>
        <v>1.4159426362484322</v>
      </c>
    </row>
    <row r="131" spans="1:8" ht="16.5" customHeight="1">
      <c r="A131" s="189" t="s">
        <v>236</v>
      </c>
      <c r="B131" s="194">
        <f>[177]PLANCUSr!$H$166</f>
        <v>0.23271046503879769</v>
      </c>
      <c r="C131" s="165">
        <f t="shared" si="65"/>
        <v>144.99094394940667</v>
      </c>
      <c r="D131" s="166">
        <f t="shared" si="69"/>
        <v>0.72000000000000952</v>
      </c>
      <c r="E131" s="166">
        <f t="shared" ref="E131:E136" si="70">100*(B131/B$130-1)</f>
        <v>0.72000000000000952</v>
      </c>
      <c r="F131" s="169">
        <f t="shared" ref="F131:F136" si="71">(100*(B131/B119-1))</f>
        <v>5.5626637067365481</v>
      </c>
      <c r="G131" s="170">
        <f t="shared" ref="G131:G136" si="72">100*(B131/B107-1)</f>
        <v>12.105210413021105</v>
      </c>
      <c r="H131" s="174">
        <f t="shared" si="45"/>
        <v>1.4058207270139318</v>
      </c>
    </row>
    <row r="132" spans="1:8" ht="16.5" customHeight="1">
      <c r="A132" s="189" t="s">
        <v>237</v>
      </c>
      <c r="B132" s="194">
        <f>[178]PLANCUSr!$H$166</f>
        <v>0.23417654096854212</v>
      </c>
      <c r="C132" s="165">
        <f t="shared" ref="C132:C137" si="73">100*B132/B$8</f>
        <v>145.90438689628795</v>
      </c>
      <c r="D132" s="166">
        <f t="shared" ref="D132:D137" si="74">100*(B132/B131-1)</f>
        <v>0.62999999999999723</v>
      </c>
      <c r="E132" s="166">
        <f t="shared" si="70"/>
        <v>1.3545360000000173</v>
      </c>
      <c r="F132" s="169">
        <f t="shared" si="71"/>
        <v>5.2593227190735004</v>
      </c>
      <c r="G132" s="170">
        <f t="shared" si="72"/>
        <v>12.239054062902333</v>
      </c>
      <c r="H132" s="174">
        <f t="shared" si="45"/>
        <v>1.3970195041378632</v>
      </c>
    </row>
    <row r="133" spans="1:8" ht="16.5" customHeight="1">
      <c r="A133" s="189" t="s">
        <v>238</v>
      </c>
      <c r="B133" s="194">
        <f>[179]PLANCUSr!$H$166</f>
        <v>0.23567527083074077</v>
      </c>
      <c r="C133" s="165">
        <f t="shared" si="73"/>
        <v>146.83817497242416</v>
      </c>
      <c r="D133" s="166">
        <f t="shared" si="74"/>
        <v>0.63999999999999613</v>
      </c>
      <c r="E133" s="166">
        <f t="shared" si="70"/>
        <v>2.0032050303999904</v>
      </c>
      <c r="F133" s="169">
        <f t="shared" si="71"/>
        <v>5.3849804859486206</v>
      </c>
      <c r="G133" s="170">
        <f t="shared" si="72"/>
        <v>12.518561618592393</v>
      </c>
      <c r="H133" s="174">
        <f t="shared" si="45"/>
        <v>1.3881354373388943</v>
      </c>
    </row>
    <row r="134" spans="1:8" ht="16.5" customHeight="1">
      <c r="A134" s="189" t="s">
        <v>239</v>
      </c>
      <c r="B134" s="194">
        <f>[180]PLANCUSr!$H$166</f>
        <v>0.23760780805155285</v>
      </c>
      <c r="C134" s="165">
        <f t="shared" si="73"/>
        <v>148.04224800719803</v>
      </c>
      <c r="D134" s="166">
        <f t="shared" si="74"/>
        <v>0.81999999999999851</v>
      </c>
      <c r="E134" s="166">
        <f t="shared" si="70"/>
        <v>2.8396313116492822</v>
      </c>
      <c r="F134" s="169">
        <f t="shared" si="71"/>
        <v>5.6154446579854911</v>
      </c>
      <c r="G134" s="170">
        <f t="shared" si="72"/>
        <v>13.237386528114236</v>
      </c>
      <c r="H134" s="174">
        <f t="shared" si="45"/>
        <v>1.3768453058310797</v>
      </c>
    </row>
    <row r="135" spans="1:8" ht="16.5" customHeight="1">
      <c r="A135" s="189" t="s">
        <v>240</v>
      </c>
      <c r="B135" s="194">
        <f>[181]PLANCUSr!$H$166</f>
        <v>0.23946114895435497</v>
      </c>
      <c r="C135" s="165">
        <f t="shared" si="73"/>
        <v>149.19697754165418</v>
      </c>
      <c r="D135" s="166">
        <f t="shared" si="74"/>
        <v>0.78000000000000291</v>
      </c>
      <c r="E135" s="166">
        <f t="shared" si="70"/>
        <v>3.6417804358801487</v>
      </c>
      <c r="F135" s="169">
        <f t="shared" si="71"/>
        <v>5.8149369980293963</v>
      </c>
      <c r="G135" s="170">
        <f t="shared" si="72"/>
        <v>13.394910714460995</v>
      </c>
      <c r="H135" s="174">
        <f t="shared" si="45"/>
        <v>1.3661890313862666</v>
      </c>
    </row>
    <row r="136" spans="1:8" ht="16.5" customHeight="1">
      <c r="A136" s="189" t="s">
        <v>241</v>
      </c>
      <c r="B136" s="194">
        <f>[182]PLANCUSr!$H$166</f>
        <v>0.2408979158480811</v>
      </c>
      <c r="C136" s="165">
        <f t="shared" si="73"/>
        <v>150.0921594069041</v>
      </c>
      <c r="D136" s="166">
        <f t="shared" si="74"/>
        <v>0.60000000000000053</v>
      </c>
      <c r="E136" s="166">
        <f t="shared" si="70"/>
        <v>4.2636311184954367</v>
      </c>
      <c r="F136" s="169">
        <f t="shared" si="71"/>
        <v>6.0785516891056934</v>
      </c>
      <c r="G136" s="170">
        <f t="shared" si="72"/>
        <v>13.451298039530336</v>
      </c>
      <c r="H136" s="174">
        <f t="shared" si="45"/>
        <v>1.3580407866662689</v>
      </c>
    </row>
    <row r="137" spans="1:8" ht="16.5" customHeight="1">
      <c r="A137" s="189" t="s">
        <v>242</v>
      </c>
      <c r="B137" s="194">
        <f>[183]PLANCUSr!$H$166</f>
        <v>0.2415242504292861</v>
      </c>
      <c r="C137" s="165">
        <f t="shared" si="73"/>
        <v>150.48239902136206</v>
      </c>
      <c r="D137" s="166">
        <f t="shared" si="74"/>
        <v>0.25999999999999357</v>
      </c>
      <c r="E137" s="166">
        <f t="shared" ref="E137:E142" si="75">100*(B137/B$130-1)</f>
        <v>4.5347165594035177</v>
      </c>
      <c r="F137" s="169">
        <f t="shared" ref="F137:F142" si="76">(100*(B137/B125-1))</f>
        <v>6.0573952168900824</v>
      </c>
      <c r="G137" s="170">
        <f t="shared" ref="G137:G142" si="77">100*(B137/B113-1)</f>
        <v>13.451298039530336</v>
      </c>
      <c r="H137" s="174">
        <f t="shared" si="45"/>
        <v>1.3545190371696281</v>
      </c>
    </row>
    <row r="138" spans="1:8" ht="16.5" customHeight="1">
      <c r="A138" s="189" t="s">
        <v>243</v>
      </c>
      <c r="B138" s="194">
        <f>[184]PLANCUSr!$H$166</f>
        <v>0.24183823195484419</v>
      </c>
      <c r="C138" s="165">
        <f t="shared" ref="C138:C143" si="78">100*B138/B$8</f>
        <v>150.67802614008983</v>
      </c>
      <c r="D138" s="166">
        <f t="shared" ref="D138:D143" si="79">100*(B138/B137-1)</f>
        <v>0.13000000000000789</v>
      </c>
      <c r="E138" s="166">
        <f t="shared" si="75"/>
        <v>4.6706116909307482</v>
      </c>
      <c r="F138" s="169">
        <f t="shared" si="76"/>
        <v>6.3335033850726585</v>
      </c>
      <c r="G138" s="170">
        <f t="shared" si="77"/>
        <v>13.112401400957619</v>
      </c>
      <c r="H138" s="174">
        <f t="shared" si="45"/>
        <v>1.3527604485864655</v>
      </c>
    </row>
    <row r="139" spans="1:8" ht="16.5" customHeight="1">
      <c r="A139" s="189" t="s">
        <v>244</v>
      </c>
      <c r="B139" s="194">
        <f>[185]PLANCUSr!$H$166</f>
        <v>0.24227354077236291</v>
      </c>
      <c r="C139" s="165">
        <f t="shared" si="78"/>
        <v>150.949246587142</v>
      </c>
      <c r="D139" s="166">
        <f t="shared" si="79"/>
        <v>0.18000000000000238</v>
      </c>
      <c r="E139" s="166">
        <f t="shared" si="75"/>
        <v>4.8590187919744121</v>
      </c>
      <c r="F139" s="169">
        <f t="shared" si="76"/>
        <v>6.3547361133843738</v>
      </c>
      <c r="G139" s="170">
        <f t="shared" si="77"/>
        <v>12.808366076136736</v>
      </c>
      <c r="H139" s="174">
        <f t="shared" si="45"/>
        <v>1.3503298548477396</v>
      </c>
    </row>
    <row r="140" spans="1:8" ht="16.5" customHeight="1">
      <c r="A140" s="189" t="s">
        <v>245</v>
      </c>
      <c r="B140" s="194">
        <f>[186]PLANCUSr!$H$173</f>
        <v>0.24346068112214747</v>
      </c>
      <c r="C140" s="165">
        <f t="shared" si="78"/>
        <v>151.68889789541899</v>
      </c>
      <c r="D140" s="166">
        <f t="shared" si="79"/>
        <v>0.48999999999999044</v>
      </c>
      <c r="E140" s="166">
        <f t="shared" si="75"/>
        <v>5.3728279840550952</v>
      </c>
      <c r="F140" s="169">
        <f t="shared" si="76"/>
        <v>6.5880864868255173</v>
      </c>
      <c r="G140" s="170">
        <f t="shared" si="77"/>
        <v>12.651423104352366</v>
      </c>
      <c r="H140" s="174">
        <f t="shared" si="45"/>
        <v>1.3437455018884861</v>
      </c>
    </row>
    <row r="141" spans="1:8" ht="16.5" customHeight="1">
      <c r="A141" s="189" t="s">
        <v>246</v>
      </c>
      <c r="B141" s="194">
        <f>[187]PLANCUSr!$H$173</f>
        <v>0.24438583171041164</v>
      </c>
      <c r="C141" s="165">
        <f t="shared" si="78"/>
        <v>152.26531570742156</v>
      </c>
      <c r="D141" s="166">
        <f t="shared" si="79"/>
        <v>0.38000000000000256</v>
      </c>
      <c r="E141" s="166">
        <f t="shared" si="75"/>
        <v>5.7732447303945111</v>
      </c>
      <c r="F141" s="169">
        <f t="shared" si="76"/>
        <v>6.3444202519386428</v>
      </c>
      <c r="G141" s="170">
        <f t="shared" si="77"/>
        <v>12.282294223164447</v>
      </c>
      <c r="H141" s="174">
        <f t="shared" si="45"/>
        <v>1.3386585992114823</v>
      </c>
    </row>
    <row r="142" spans="1:8" ht="16.5" customHeight="1">
      <c r="A142" s="189" t="s">
        <v>247</v>
      </c>
      <c r="B142" s="194">
        <f>[188]PLANCUSr!$H$173</f>
        <v>0.24568107661847685</v>
      </c>
      <c r="C142" s="165">
        <f t="shared" si="78"/>
        <v>153.07232188067093</v>
      </c>
      <c r="D142" s="166">
        <f t="shared" si="79"/>
        <v>0.53000000000000824</v>
      </c>
      <c r="E142" s="166">
        <f t="shared" si="75"/>
        <v>6.3338429274656161</v>
      </c>
      <c r="F142" s="169">
        <f t="shared" si="76"/>
        <v>6.3338429274656161</v>
      </c>
      <c r="G142" s="170">
        <f t="shared" si="77"/>
        <v>12.271126300524383</v>
      </c>
      <c r="H142" s="174">
        <f t="shared" si="45"/>
        <v>1.3316011133109342</v>
      </c>
    </row>
    <row r="143" spans="1:8" ht="16.5" customHeight="1">
      <c r="A143" s="189" t="s">
        <v>248</v>
      </c>
      <c r="B143" s="194">
        <f>[189]PLANCUSr!$H$173</f>
        <v>0.2472042992935114</v>
      </c>
      <c r="C143" s="165">
        <f t="shared" si="78"/>
        <v>154.02137027633108</v>
      </c>
      <c r="D143" s="166">
        <f t="shared" si="79"/>
        <v>0.61999999999999833</v>
      </c>
      <c r="E143" s="166">
        <f t="shared" ref="E143:E148" si="80">100*(B143/B$142-1)</f>
        <v>0.61999999999999833</v>
      </c>
      <c r="F143" s="169">
        <f t="shared" ref="F143:F148" si="81">(100*(B143/B131-1))</f>
        <v>6.228269215265958</v>
      </c>
      <c r="G143" s="170">
        <f t="shared" ref="G143:G148" si="82">100*(B143/B119-1)</f>
        <v>12.13739059319796</v>
      </c>
      <c r="H143" s="174">
        <f t="shared" si="45"/>
        <v>1.3233960577528665</v>
      </c>
    </row>
    <row r="144" spans="1:8" ht="16.5" customHeight="1">
      <c r="A144" s="163" t="s">
        <v>249</v>
      </c>
      <c r="B144" s="194">
        <f>[190]PLANCUSr!$H$173</f>
        <v>0.25086292292305534</v>
      </c>
      <c r="C144" s="165">
        <f t="shared" ref="C144:C150" si="83">100*B144/B$8</f>
        <v>156.30088655642075</v>
      </c>
      <c r="D144" s="166">
        <f t="shared" ref="D144:D149" si="84">100*(B144/B143-1)</f>
        <v>1.4799999999999924</v>
      </c>
      <c r="E144" s="166">
        <f t="shared" si="80"/>
        <v>2.1091759999999793</v>
      </c>
      <c r="F144" s="169">
        <f t="shared" si="81"/>
        <v>7.1255565931152676</v>
      </c>
      <c r="G144" s="170">
        <f t="shared" si="82"/>
        <v>12.759635328950925</v>
      </c>
      <c r="H144" s="174">
        <f t="shared" si="45"/>
        <v>1.3040954451644331</v>
      </c>
    </row>
    <row r="145" spans="1:8" ht="16.5" customHeight="1">
      <c r="A145" s="163" t="s">
        <v>250</v>
      </c>
      <c r="B145" s="194">
        <f>[191]PLANCUSr!$H$173</f>
        <v>0.25377293282896279</v>
      </c>
      <c r="C145" s="165">
        <f t="shared" si="83"/>
        <v>158.11397684047526</v>
      </c>
      <c r="D145" s="166">
        <f t="shared" si="84"/>
        <v>1.1600000000000055</v>
      </c>
      <c r="E145" s="166">
        <f t="shared" si="80"/>
        <v>3.2936424415999976</v>
      </c>
      <c r="F145" s="169">
        <f t="shared" si="81"/>
        <v>7.6790670206631662</v>
      </c>
      <c r="G145" s="170">
        <f t="shared" si="82"/>
        <v>13.477563767177415</v>
      </c>
      <c r="H145" s="174">
        <f t="shared" si="45"/>
        <v>1.2891414048679646</v>
      </c>
    </row>
    <row r="146" spans="1:8" ht="16.5" customHeight="1">
      <c r="A146" s="163" t="s">
        <v>252</v>
      </c>
      <c r="B146" s="194">
        <f>[192]PLANCUSr!$H$173</f>
        <v>0.25760490411468012</v>
      </c>
      <c r="C146" s="165">
        <f t="shared" si="83"/>
        <v>160.50149789076642</v>
      </c>
      <c r="D146" s="166">
        <f t="shared" si="84"/>
        <v>1.5099999999999891</v>
      </c>
      <c r="E146" s="166">
        <f t="shared" si="80"/>
        <v>4.8533764424681491</v>
      </c>
      <c r="F146" s="169">
        <f t="shared" si="81"/>
        <v>8.416009653516344</v>
      </c>
      <c r="G146" s="170">
        <f t="shared" si="82"/>
        <v>14.504050676005754</v>
      </c>
      <c r="H146" s="174">
        <f t="shared" si="45"/>
        <v>1.2699649343591417</v>
      </c>
    </row>
    <row r="147" spans="1:8" ht="16.5" customHeight="1">
      <c r="A147" s="163" t="s">
        <v>253</v>
      </c>
      <c r="B147" s="194">
        <f>[193]PLANCUSr!$H$173</f>
        <v>0.2594338989338944</v>
      </c>
      <c r="C147" s="165">
        <f t="shared" si="83"/>
        <v>161.6410585257909</v>
      </c>
      <c r="D147" s="166">
        <f t="shared" si="84"/>
        <v>0.71000000000001062</v>
      </c>
      <c r="E147" s="166">
        <f t="shared" si="80"/>
        <v>5.5978354152096843</v>
      </c>
      <c r="F147" s="169">
        <f t="shared" si="81"/>
        <v>8.3407058166861781</v>
      </c>
      <c r="G147" s="170">
        <f t="shared" si="82"/>
        <v>14.64064960314686</v>
      </c>
      <c r="H147" s="174">
        <f t="shared" si="45"/>
        <v>1.2610117509275558</v>
      </c>
    </row>
    <row r="148" spans="1:8" ht="16.5" customHeight="1">
      <c r="A148" s="163" t="s">
        <v>254</v>
      </c>
      <c r="B148" s="194">
        <f>[194]PLANCUSr!$H$173</f>
        <v>0.26200229453333995</v>
      </c>
      <c r="C148" s="165">
        <f t="shared" si="83"/>
        <v>163.24130500519624</v>
      </c>
      <c r="D148" s="166">
        <f t="shared" si="84"/>
        <v>0.99000000000000199</v>
      </c>
      <c r="E148" s="166">
        <f t="shared" si="80"/>
        <v>6.6432539858202633</v>
      </c>
      <c r="F148" s="169">
        <f t="shared" si="81"/>
        <v>8.7607145171683563</v>
      </c>
      <c r="G148" s="170">
        <f t="shared" si="82"/>
        <v>15.371790766535121</v>
      </c>
      <c r="H148" s="174">
        <f t="shared" si="45"/>
        <v>1.2486501147911238</v>
      </c>
    </row>
    <row r="149" spans="1:8" ht="16.5" customHeight="1">
      <c r="A149" s="163" t="s">
        <v>255</v>
      </c>
      <c r="B149" s="194">
        <f>[195]PLANCUSr!$H$173</f>
        <v>0.2640197122012467</v>
      </c>
      <c r="C149" s="165">
        <f t="shared" si="83"/>
        <v>164.49826305373628</v>
      </c>
      <c r="D149" s="166">
        <f t="shared" si="84"/>
        <v>0.77000000000000401</v>
      </c>
      <c r="E149" s="166">
        <f t="shared" ref="E149:E154" si="85">100*(B149/B$142-1)</f>
        <v>7.4644070415111008</v>
      </c>
      <c r="F149" s="169">
        <f t="shared" ref="F149:F154" si="86">(100*(B149/B137-1))</f>
        <v>9.3139557340420573</v>
      </c>
      <c r="G149" s="170">
        <f t="shared" ref="G149:G154" si="87">100*(B149/B125-1)</f>
        <v>15.935534060069267</v>
      </c>
      <c r="H149" s="174">
        <f t="shared" si="45"/>
        <v>1.2391089756783999</v>
      </c>
    </row>
    <row r="150" spans="1:8" ht="16.5" customHeight="1">
      <c r="A150" s="163" t="str">
        <f>Seguros!A150</f>
        <v>AGOSTO|15</v>
      </c>
      <c r="B150" s="194">
        <f>[196]PLANCUSr!$H$173</f>
        <v>0.26555102653201396</v>
      </c>
      <c r="C150" s="165">
        <f t="shared" si="83"/>
        <v>165.45235297944794</v>
      </c>
      <c r="D150" s="166">
        <f t="shared" ref="D150:D155" si="88">100*(B150/B149-1)</f>
        <v>0.58000000000000274</v>
      </c>
      <c r="E150" s="166">
        <f t="shared" si="85"/>
        <v>8.0877006023518661</v>
      </c>
      <c r="F150" s="169">
        <f t="shared" si="86"/>
        <v>9.80522987845751</v>
      </c>
      <c r="G150" s="170">
        <f t="shared" si="87"/>
        <v>16.75974782979641</v>
      </c>
      <c r="H150" s="174">
        <f t="shared" si="45"/>
        <v>1.2319635868745276</v>
      </c>
    </row>
    <row r="151" spans="1:8" ht="16.5" customHeight="1">
      <c r="A151" s="163" t="str">
        <f>Seguros!A151</f>
        <v>SETEMBRO|15</v>
      </c>
      <c r="B151" s="194">
        <f>[197]PLANCUSr!$H$173</f>
        <v>0.26621490409834397</v>
      </c>
      <c r="C151" s="165">
        <f t="shared" ref="C151:C157" si="89">100*B151/B$8</f>
        <v>165.86598386189655</v>
      </c>
      <c r="D151" s="166">
        <f t="shared" si="88"/>
        <v>0.24999999999999467</v>
      </c>
      <c r="E151" s="166">
        <f t="shared" si="85"/>
        <v>8.3579198538577426</v>
      </c>
      <c r="F151" s="169">
        <f t="shared" si="86"/>
        <v>9.8819554333735802</v>
      </c>
      <c r="G151" s="170">
        <f t="shared" si="87"/>
        <v>16.864663737391083</v>
      </c>
      <c r="H151" s="174">
        <f t="shared" si="45"/>
        <v>1.2288913584783316</v>
      </c>
    </row>
    <row r="152" spans="1:8" ht="16.5" customHeight="1">
      <c r="A152" s="163" t="str">
        <f>Seguros!A152</f>
        <v>OUTUBRO|15</v>
      </c>
      <c r="B152" s="194">
        <f>[198]PLANCUSr!$H$173</f>
        <v>0.26757260010924555</v>
      </c>
      <c r="C152" s="165">
        <f t="shared" si="89"/>
        <v>166.71190037959224</v>
      </c>
      <c r="D152" s="166">
        <f t="shared" si="88"/>
        <v>0.51000000000001044</v>
      </c>
      <c r="E152" s="166">
        <f t="shared" si="85"/>
        <v>8.9105452451124343</v>
      </c>
      <c r="F152" s="169">
        <f t="shared" si="86"/>
        <v>9.9038246652241924</v>
      </c>
      <c r="G152" s="170">
        <f t="shared" si="87"/>
        <v>17.144383686498244</v>
      </c>
      <c r="H152" s="174">
        <f t="shared" si="45"/>
        <v>1.2226558138278099</v>
      </c>
    </row>
    <row r="153" spans="1:8" ht="16.5" customHeight="1">
      <c r="A153" s="163" t="str">
        <f>Seguros!A153</f>
        <v>NOVEMBRO|15</v>
      </c>
      <c r="B153" s="194">
        <f>[199]PLANCUSr!$H$173</f>
        <v>0.26963290913008675</v>
      </c>
      <c r="C153" s="165">
        <f t="shared" si="89"/>
        <v>167.99558201251509</v>
      </c>
      <c r="D153" s="166">
        <f t="shared" si="88"/>
        <v>0.77000000000000401</v>
      </c>
      <c r="E153" s="166">
        <f t="shared" si="85"/>
        <v>9.7491564434997855</v>
      </c>
      <c r="F153" s="169">
        <f t="shared" si="86"/>
        <v>10.330826972650353</v>
      </c>
      <c r="G153" s="170">
        <f t="shared" si="87"/>
        <v>17.33067830323456</v>
      </c>
      <c r="H153" s="174">
        <f t="shared" si="45"/>
        <v>1.2133133014069761</v>
      </c>
    </row>
    <row r="154" spans="1:8" ht="16.5" customHeight="1">
      <c r="A154" s="163" t="str">
        <f>Seguros!A154</f>
        <v>DEZEMBRO|15</v>
      </c>
      <c r="B154" s="194">
        <f>[200]PLANCUSr!$H$173</f>
        <v>0.27262583442143073</v>
      </c>
      <c r="C154" s="165">
        <f t="shared" si="89"/>
        <v>169.86033297285405</v>
      </c>
      <c r="D154" s="166">
        <f t="shared" si="88"/>
        <v>1.110000000000011</v>
      </c>
      <c r="E154" s="166">
        <f t="shared" si="85"/>
        <v>10.967372080022653</v>
      </c>
      <c r="F154" s="169">
        <f t="shared" si="86"/>
        <v>10.967372080022653</v>
      </c>
      <c r="G154" s="170">
        <f t="shared" si="87"/>
        <v>17.995871128307606</v>
      </c>
      <c r="H154" s="174">
        <f t="shared" si="45"/>
        <v>1.1999933749450855</v>
      </c>
    </row>
    <row r="155" spans="1:8" ht="16.5" customHeight="1">
      <c r="A155" s="163" t="str">
        <f>Seguros!A155</f>
        <v>JANEIRO|16</v>
      </c>
      <c r="B155" s="194">
        <f>[201]PLANCUSr!$H$174</f>
        <v>0.27507946693122359</v>
      </c>
      <c r="C155" s="165">
        <f t="shared" si="89"/>
        <v>171.38907596960971</v>
      </c>
      <c r="D155" s="166">
        <f t="shared" si="88"/>
        <v>0.8999999999999897</v>
      </c>
      <c r="E155" s="166">
        <f t="shared" ref="E155:E160" si="90">100*(B155/B$154-1)</f>
        <v>0.8999999999999897</v>
      </c>
      <c r="F155" s="169">
        <f t="shared" ref="F155:F160" si="91">(100*(B155/B143-1))</f>
        <v>11.276166198313309</v>
      </c>
      <c r="G155" s="170">
        <f t="shared" ref="G155:G160" si="92">100*(B155/B131-1)</f>
        <v>18.206745401571055</v>
      </c>
      <c r="H155" s="174">
        <f t="shared" si="45"/>
        <v>1.1892897670417102</v>
      </c>
    </row>
    <row r="156" spans="1:8" ht="16.5" customHeight="1">
      <c r="A156" s="163" t="str">
        <f>Seguros!A156</f>
        <v>FEVEREIRO|16</v>
      </c>
      <c r="B156" s="194">
        <f>[202]PLANCUSr!$H$174</f>
        <v>0.27923316688188504</v>
      </c>
      <c r="C156" s="165">
        <f t="shared" si="89"/>
        <v>173.97705101675081</v>
      </c>
      <c r="D156" s="166">
        <f t="shared" ref="D156:D161" si="93">100*(B156/B155-1)</f>
        <v>1.5099999999999891</v>
      </c>
      <c r="E156" s="166">
        <f t="shared" si="90"/>
        <v>2.4235899999999866</v>
      </c>
      <c r="F156" s="169">
        <f t="shared" si="91"/>
        <v>11.309062187532358</v>
      </c>
      <c r="G156" s="170">
        <f t="shared" si="92"/>
        <v>19.240452406970832</v>
      </c>
      <c r="H156" s="174">
        <f t="shared" si="45"/>
        <v>1.1715986277624966</v>
      </c>
    </row>
    <row r="157" spans="1:8" ht="16.5" customHeight="1">
      <c r="A157" s="163" t="str">
        <f>Seguros!A157</f>
        <v>MARÇO|16</v>
      </c>
      <c r="B157" s="194">
        <f>[203]PLANCUSr_CJ!$H$174</f>
        <v>0.28188588196726294</v>
      </c>
      <c r="C157" s="165">
        <f t="shared" si="89"/>
        <v>175.62983300140993</v>
      </c>
      <c r="D157" s="166">
        <f t="shared" si="93"/>
        <v>0.95000000000000639</v>
      </c>
      <c r="E157" s="166">
        <f t="shared" si="90"/>
        <v>3.3966141049999843</v>
      </c>
      <c r="F157" s="169">
        <f t="shared" si="91"/>
        <v>11.077993553097976</v>
      </c>
      <c r="G157" s="170">
        <f t="shared" si="92"/>
        <v>19.607747123248288</v>
      </c>
      <c r="H157" s="174">
        <f t="shared" si="45"/>
        <v>1.1605731825284762</v>
      </c>
    </row>
    <row r="158" spans="1:8" ht="16.5" customHeight="1">
      <c r="A158" s="163" t="str">
        <f>Seguros!A158</f>
        <v>ABRIL|16</v>
      </c>
      <c r="B158" s="194">
        <f>[204]PLANCUSr_CJ!$H$174</f>
        <v>0.28312617984791888</v>
      </c>
      <c r="C158" s="165">
        <f t="shared" ref="C158:C164" si="94">100*B158/B$8</f>
        <v>176.40260426661612</v>
      </c>
      <c r="D158" s="166">
        <f t="shared" si="93"/>
        <v>0.43999999999999595</v>
      </c>
      <c r="E158" s="166">
        <f t="shared" si="90"/>
        <v>3.851559207061972</v>
      </c>
      <c r="F158" s="169">
        <f t="shared" si="91"/>
        <v>9.9071389269348877</v>
      </c>
      <c r="G158" s="170">
        <f t="shared" si="92"/>
        <v>19.156934348929333</v>
      </c>
      <c r="H158" s="174">
        <f t="shared" si="45"/>
        <v>1.155489030792987</v>
      </c>
    </row>
    <row r="159" spans="1:8" ht="16.5" customHeight="1">
      <c r="A159" s="163" t="str">
        <f>Seguros!A159</f>
        <v>MAIO|16</v>
      </c>
      <c r="B159" s="194">
        <f>[205]PLANCUSr_CJ!$H$174</f>
        <v>0.28493818739894555</v>
      </c>
      <c r="C159" s="165">
        <f t="shared" si="94"/>
        <v>177.53158093392244</v>
      </c>
      <c r="D159" s="166">
        <f t="shared" si="93"/>
        <v>0.63999999999999613</v>
      </c>
      <c r="E159" s="166">
        <f t="shared" si="90"/>
        <v>4.5162091859871634</v>
      </c>
      <c r="F159" s="169">
        <f t="shared" si="91"/>
        <v>9.8307463172150111</v>
      </c>
      <c r="G159" s="170">
        <f t="shared" si="92"/>
        <v>18.991405763804803</v>
      </c>
      <c r="H159" s="174">
        <f t="shared" si="45"/>
        <v>1.1481409288483575</v>
      </c>
    </row>
    <row r="160" spans="1:8" ht="16.5" customHeight="1">
      <c r="A160" s="163" t="str">
        <f>Seguros!A160</f>
        <v>JUNHO|16</v>
      </c>
      <c r="B160" s="194">
        <f>[206]PLANCUSr_CJ!$H$174</f>
        <v>0.28773058163545523</v>
      </c>
      <c r="C160" s="165">
        <f t="shared" si="94"/>
        <v>179.27139042707492</v>
      </c>
      <c r="D160" s="166">
        <f t="shared" si="93"/>
        <v>0.98000000000000309</v>
      </c>
      <c r="E160" s="166">
        <f t="shared" si="90"/>
        <v>5.5404680360098491</v>
      </c>
      <c r="F160" s="169">
        <f t="shared" si="91"/>
        <v>9.8198709091234182</v>
      </c>
      <c r="G160" s="170">
        <f t="shared" si="92"/>
        <v>19.440876282594544</v>
      </c>
      <c r="H160" s="174">
        <f t="shared" si="45"/>
        <v>1.1369983450667038</v>
      </c>
    </row>
    <row r="161" spans="1:8" ht="16.5" customHeight="1">
      <c r="A161" s="163" t="str">
        <f>Seguros!A161</f>
        <v>JULHO|16</v>
      </c>
      <c r="B161" s="194">
        <f>[207]PLANCUSr_CJ!$H$174</f>
        <v>0.28908291536914182</v>
      </c>
      <c r="C161" s="165">
        <f t="shared" si="94"/>
        <v>180.11396596208212</v>
      </c>
      <c r="D161" s="166">
        <f t="shared" si="93"/>
        <v>0.46999999999999265</v>
      </c>
      <c r="E161" s="166">
        <f t="shared" ref="E161" si="95">100*(B161/B$154-1)</f>
        <v>6.0365082357790811</v>
      </c>
      <c r="F161" s="169">
        <f t="shared" ref="F161" si="96">(100*(B161/B149-1))</f>
        <v>9.4929287510134621</v>
      </c>
      <c r="G161" s="170">
        <f t="shared" ref="G161" si="97">100*(B161/B137-1)</f>
        <v>19.691051666789061</v>
      </c>
      <c r="H161" s="174">
        <f t="shared" ref="H161:H211" si="98">+B$211/B161</f>
        <v>1.1316794516439774</v>
      </c>
    </row>
    <row r="162" spans="1:8" ht="16.5" customHeight="1">
      <c r="A162" s="163" t="str">
        <f>Seguros!A162</f>
        <v>AGOSTO|16</v>
      </c>
      <c r="B162" s="194">
        <f>[208]PLANCUSr_CJ!$H$174</f>
        <v>0.29093304602750431</v>
      </c>
      <c r="C162" s="165">
        <f t="shared" si="94"/>
        <v>181.26669534423942</v>
      </c>
      <c r="D162" s="166">
        <f t="shared" ref="D162" si="99">100*(B162/B161-1)</f>
        <v>0.63999999999999613</v>
      </c>
      <c r="E162" s="166">
        <f t="shared" ref="E162" si="100">100*(B162/B$154-1)</f>
        <v>6.715141888488052</v>
      </c>
      <c r="F162" s="169">
        <f t="shared" ref="F162" si="101">(100*(B162/B150-1))</f>
        <v>9.5582456701331466</v>
      </c>
      <c r="G162" s="170">
        <f t="shared" ref="G162" si="102">100*(B162/B138-1)</f>
        <v>20.300683508894934</v>
      </c>
      <c r="H162" s="174">
        <f t="shared" si="98"/>
        <v>1.1244827619673863</v>
      </c>
    </row>
    <row r="163" spans="1:8" ht="16.5" customHeight="1">
      <c r="A163" s="163" t="str">
        <f>Seguros!A163</f>
        <v>SETEMBRO|16</v>
      </c>
      <c r="B163" s="194">
        <f>[209]PLANCUSr_CJ!$H$174</f>
        <v>0.2918349384701896</v>
      </c>
      <c r="C163" s="165">
        <f t="shared" si="94"/>
        <v>181.82862209980658</v>
      </c>
      <c r="D163" s="166">
        <f t="shared" ref="D163" si="103">100*(B163/B162-1)</f>
        <v>0.31000000000001027</v>
      </c>
      <c r="E163" s="166">
        <f t="shared" ref="E163" si="104">100*(B163/B$154-1)</f>
        <v>7.0459588283423802</v>
      </c>
      <c r="F163" s="169">
        <f t="shared" ref="F163" si="105">(100*(B163/B151-1))</f>
        <v>9.6238166899856203</v>
      </c>
      <c r="G163" s="170">
        <f t="shared" ref="G163" si="106">100*(B163/B139-1)</f>
        <v>20.45679339965314</v>
      </c>
      <c r="H163" s="174">
        <f t="shared" si="98"/>
        <v>1.1210076382886911</v>
      </c>
    </row>
    <row r="164" spans="1:8" ht="16.5" customHeight="1">
      <c r="A164" s="163" t="str">
        <f>Seguros!A164</f>
        <v>OUTUBRO|16</v>
      </c>
      <c r="B164" s="194">
        <f>[210]PLANCUSr_CJ!$H$174</f>
        <v>0.29206840642096571</v>
      </c>
      <c r="C164" s="165">
        <f t="shared" si="94"/>
        <v>181.97408499748641</v>
      </c>
      <c r="D164" s="166">
        <f t="shared" ref="D164" si="107">100*(B164/B163-1)</f>
        <v>7.9999999999991189E-2</v>
      </c>
      <c r="E164" s="166">
        <f t="shared" ref="E164" si="108">100*(B164/B$154-1)</f>
        <v>7.1315955954050381</v>
      </c>
      <c r="F164" s="169">
        <f t="shared" ref="F164" si="109">(100*(B164/B152-1))</f>
        <v>9.1548261300741895</v>
      </c>
      <c r="G164" s="170">
        <f t="shared" ref="G164" si="110">100*(B164/B140-1)</f>
        <v>19.965328723627085</v>
      </c>
      <c r="H164" s="174">
        <f t="shared" si="98"/>
        <v>1.1201115490494518</v>
      </c>
    </row>
    <row r="165" spans="1:8" ht="16.5" customHeight="1">
      <c r="A165" s="163" t="str">
        <f>Seguros!A165</f>
        <v>NOVEMBRO|16</v>
      </c>
      <c r="B165" s="194">
        <f>[211]PLANCUSr_CJ!$H$174</f>
        <v>0.29256492271188134</v>
      </c>
      <c r="C165" s="165">
        <f t="shared" ref="C165" si="111">100*B165/B$8</f>
        <v>182.28344094198212</v>
      </c>
      <c r="D165" s="166">
        <f t="shared" ref="D165" si="112">100*(B165/B164-1)</f>
        <v>0.17000000000000348</v>
      </c>
      <c r="E165" s="166">
        <f t="shared" ref="E165" si="113">100*(B165/B$154-1)</f>
        <v>7.3137193079172214</v>
      </c>
      <c r="F165" s="169">
        <f t="shared" ref="F165" si="114">(100*(B165/B153-1))</f>
        <v>8.5049015922351145</v>
      </c>
      <c r="G165" s="170">
        <f t="shared" ref="G165" si="115">100*(B165/B141-1)</f>
        <v>19.714355232573453</v>
      </c>
      <c r="H165" s="174">
        <f t="shared" si="98"/>
        <v>1.1182105910446758</v>
      </c>
    </row>
    <row r="166" spans="1:8" ht="16.5" customHeight="1">
      <c r="A166" s="163" t="str">
        <f>Seguros!A166</f>
        <v>DEZEMBRO|16</v>
      </c>
      <c r="B166" s="194">
        <f>[212]PLANCUSr_CJ!$H$174</f>
        <v>0.29276971815777963</v>
      </c>
      <c r="C166" s="165">
        <f t="shared" ref="C166" si="116">100*B166/B$8</f>
        <v>182.41103935064152</v>
      </c>
      <c r="D166" s="166">
        <f t="shared" ref="D166" si="117">100*(B166/B165-1)</f>
        <v>6.9999999999992291E-2</v>
      </c>
      <c r="E166" s="166">
        <f t="shared" ref="E166" si="118">100*(B166/B$154-1)</f>
        <v>7.3888389114327602</v>
      </c>
      <c r="F166" s="169">
        <f t="shared" ref="F166" si="119">(100*(B166/B154-1))</f>
        <v>7.3888389114327602</v>
      </c>
      <c r="G166" s="170">
        <f t="shared" ref="G166" si="120">100*(B166/B142-1)</f>
        <v>19.166572447265718</v>
      </c>
      <c r="H166" s="174">
        <f t="shared" si="98"/>
        <v>1.1174283911708562</v>
      </c>
    </row>
    <row r="167" spans="1:8" ht="16.5" customHeight="1">
      <c r="A167" s="163" t="str">
        <f>Seguros!A167</f>
        <v>JANEIRO|17</v>
      </c>
      <c r="B167" s="194">
        <f>[213]PLANCUSr_CJ!$H$174</f>
        <v>0.29317959576320057</v>
      </c>
      <c r="C167" s="165">
        <f t="shared" ref="C167" si="121">100*B167/B$8</f>
        <v>182.66641480573244</v>
      </c>
      <c r="D167" s="166">
        <f t="shared" ref="D167" si="122">100*(B167/B166-1)</f>
        <v>0.14000000000000679</v>
      </c>
      <c r="E167" s="166">
        <f t="shared" ref="E167:E172" si="123">100*(B167/B$166-1)</f>
        <v>0.14000000000000679</v>
      </c>
      <c r="F167" s="169">
        <f t="shared" ref="F167" si="124">(100*(B167/B155-1))</f>
        <v>6.5799636133882844</v>
      </c>
      <c r="G167" s="170">
        <f t="shared" ref="G167" si="125">100*(B167/B143-1)</f>
        <v>18.598097444535799</v>
      </c>
      <c r="H167" s="174">
        <f t="shared" si="98"/>
        <v>1.1158661785209267</v>
      </c>
    </row>
    <row r="168" spans="1:8" ht="16.5" customHeight="1">
      <c r="A168" s="163" t="str">
        <f>Seguros!A168</f>
        <v>FEVEREIRO|17</v>
      </c>
      <c r="B168" s="194">
        <f>[214]PLANCUSr_CJ!$H$174</f>
        <v>0.29441095006540602</v>
      </c>
      <c r="C168" s="165">
        <f t="shared" ref="C168" si="126">100*B168/B$8</f>
        <v>183.43361374791652</v>
      </c>
      <c r="D168" s="166">
        <f t="shared" ref="D168" si="127">100*(B168/B167-1)</f>
        <v>0.41999999999999815</v>
      </c>
      <c r="E168" s="166">
        <f t="shared" si="123"/>
        <v>0.5605880000000063</v>
      </c>
      <c r="F168" s="169">
        <f t="shared" ref="F168" si="128">(100*(B168/B156-1))</f>
        <v>5.4355230623234441</v>
      </c>
      <c r="G168" s="170">
        <f t="shared" ref="G168" si="129">100*(B168/B144-1)</f>
        <v>17.359291933191635</v>
      </c>
      <c r="H168" s="174">
        <f t="shared" si="98"/>
        <v>1.1111991421240059</v>
      </c>
    </row>
    <row r="169" spans="1:8" ht="16.5" customHeight="1">
      <c r="A169" s="163" t="str">
        <f>Seguros!A169</f>
        <v>MARÇO|17</v>
      </c>
      <c r="B169" s="194">
        <f>[215]PLANCUSr_CJ!$H$174</f>
        <v>0.29511753634556298</v>
      </c>
      <c r="C169" s="165">
        <f t="shared" ref="C169" si="130">100*B169/B$8</f>
        <v>183.87385442091153</v>
      </c>
      <c r="D169" s="166">
        <f t="shared" ref="D169" si="131">100*(B169/B168-1)</f>
        <v>0.23999999999999577</v>
      </c>
      <c r="E169" s="166">
        <f t="shared" si="123"/>
        <v>0.8019334112000065</v>
      </c>
      <c r="F169" s="169">
        <f t="shared" ref="F169" si="132">(100*(B169/B157-1))</f>
        <v>4.6939755499485036</v>
      </c>
      <c r="G169" s="170">
        <f t="shared" ref="G169" si="133">100*(B169/B145-1)</f>
        <v>16.291967411853769</v>
      </c>
      <c r="H169" s="174">
        <f t="shared" si="98"/>
        <v>1.1085386493655287</v>
      </c>
    </row>
    <row r="170" spans="1:8" ht="16.5" customHeight="1">
      <c r="A170" s="163" t="str">
        <f>Seguros!A170</f>
        <v>ABRIL|17</v>
      </c>
      <c r="B170" s="194">
        <f>[216]PLANCUSr_CJ!$H$174</f>
        <v>0.2960619124618688</v>
      </c>
      <c r="C170" s="165">
        <f t="shared" ref="C170" si="134">100*B170/B$8</f>
        <v>184.46225075505845</v>
      </c>
      <c r="D170" s="166">
        <f t="shared" ref="D170" si="135">100*(B170/B169-1)</f>
        <v>0.32000000000000917</v>
      </c>
      <c r="E170" s="166">
        <f t="shared" si="123"/>
        <v>1.124499598115869</v>
      </c>
      <c r="F170" s="169">
        <f t="shared" ref="F170" si="136">(100*(B170/B158-1))</f>
        <v>4.5688931418840673</v>
      </c>
      <c r="G170" s="170">
        <f t="shared" ref="G170" si="137">100*(B170/B146-1)</f>
        <v>14.928678659808604</v>
      </c>
      <c r="H170" s="174">
        <f t="shared" si="98"/>
        <v>1.1050026409146019</v>
      </c>
    </row>
    <row r="171" spans="1:8" ht="16.5" customHeight="1">
      <c r="A171" s="163" t="str">
        <f>Seguros!A171</f>
        <v>MAIO|17</v>
      </c>
      <c r="B171" s="194">
        <f>[217]PLANCUSr_CJ!$H$174</f>
        <v>0.2962987619918383</v>
      </c>
      <c r="C171" s="165">
        <f t="shared" ref="C171" si="138">100*B171/B$8</f>
        <v>184.60982055566248</v>
      </c>
      <c r="D171" s="166">
        <f t="shared" ref="D171" si="139">100*(B171/B170-1)</f>
        <v>7.9999999999991189E-2</v>
      </c>
      <c r="E171" s="166">
        <f t="shared" si="123"/>
        <v>1.2053991977943435</v>
      </c>
      <c r="F171" s="169">
        <f t="shared" ref="F171" si="140">(100*(B171/B159-1))</f>
        <v>3.9870312563568877</v>
      </c>
      <c r="G171" s="170">
        <f t="shared" ref="G171" si="141">100*(B171/B147-1)</f>
        <v>14.209732501972439</v>
      </c>
      <c r="H171" s="174">
        <f t="shared" si="98"/>
        <v>1.1041193454382514</v>
      </c>
    </row>
    <row r="172" spans="1:8" ht="16.5" customHeight="1">
      <c r="A172" s="163" t="str">
        <f>Seguros!A172</f>
        <v>JUNHO|17</v>
      </c>
      <c r="B172" s="194">
        <f>[218]PLANCUSr_CJ!$H$174</f>
        <v>0.29736543753500894</v>
      </c>
      <c r="C172" s="165">
        <f t="shared" ref="C172" si="142">100*B172/B$8</f>
        <v>185.27441590966288</v>
      </c>
      <c r="D172" s="166">
        <f t="shared" ref="D172" si="143">100*(B172/B171-1)</f>
        <v>0.36000000000000476</v>
      </c>
      <c r="E172" s="166">
        <f t="shared" si="123"/>
        <v>1.5697386349064146</v>
      </c>
      <c r="F172" s="169">
        <f t="shared" ref="F172" si="144">(100*(B172/B160-1))</f>
        <v>3.3485685966327727</v>
      </c>
      <c r="G172" s="170">
        <f t="shared" ref="G172" si="145">100*(B172/B148-1)</f>
        <v>13.497264619248984</v>
      </c>
      <c r="H172" s="174">
        <f t="shared" si="98"/>
        <v>1.1001587738523828</v>
      </c>
    </row>
    <row r="173" spans="1:8" ht="16.5" customHeight="1">
      <c r="A173" s="163" t="str">
        <f>Seguros!A173</f>
        <v>JULHO|17</v>
      </c>
      <c r="B173" s="194">
        <f>[219]PLANCUSr_CJ!$H$174</f>
        <v>0.29647334122240393</v>
      </c>
      <c r="C173" s="165">
        <f t="shared" ref="C173" si="146">100*B173/B$8</f>
        <v>184.71859266193391</v>
      </c>
      <c r="D173" s="166">
        <f t="shared" ref="D173" si="147">100*(B173/B172-1)</f>
        <v>-0.29999999999998916</v>
      </c>
      <c r="E173" s="166">
        <f t="shared" ref="E173" si="148">100*(B173/B$166-1)</f>
        <v>1.2650294190017064</v>
      </c>
      <c r="F173" s="169">
        <f t="shared" ref="F173" si="149">(100*(B173/B161-1))</f>
        <v>2.5565073065023425</v>
      </c>
      <c r="G173" s="170">
        <f t="shared" ref="G173" si="150">100*(B173/B149-1)</f>
        <v>12.292123474636529</v>
      </c>
      <c r="H173" s="174">
        <f t="shared" si="98"/>
        <v>1.1034691813965722</v>
      </c>
    </row>
    <row r="174" spans="1:8" ht="16.5" customHeight="1">
      <c r="A174" s="163" t="str">
        <f>Seguros!A174</f>
        <v>AGOSTO|17</v>
      </c>
      <c r="B174" s="194">
        <f>[220]PLANCUSr_CJ!$H$174</f>
        <v>0.29697734590248204</v>
      </c>
      <c r="C174" s="165">
        <f t="shared" ref="C174" si="151">100*B174/B$8</f>
        <v>185.0326142694592</v>
      </c>
      <c r="D174" s="166">
        <f t="shared" ref="D174" si="152">100*(B174/B173-1)</f>
        <v>0.17000000000000348</v>
      </c>
      <c r="E174" s="166">
        <f t="shared" ref="E174" si="153">100*(B174/B$166-1)</f>
        <v>1.4371799690140241</v>
      </c>
      <c r="F174" s="169">
        <f t="shared" ref="F174" si="154">(100*(B174/B162-1))</f>
        <v>2.0775570040971969</v>
      </c>
      <c r="G174" s="170">
        <f t="shared" ref="G174" si="155">100*(B174/B150-1)</f>
        <v>11.834380676619016</v>
      </c>
      <c r="H174" s="174">
        <f t="shared" si="98"/>
        <v>1.1015964674019889</v>
      </c>
    </row>
    <row r="175" spans="1:8" ht="16.5" customHeight="1">
      <c r="A175" s="163" t="str">
        <f>Seguros!A175</f>
        <v>SETEMBRO|17</v>
      </c>
      <c r="B175" s="194">
        <f>[221]PLANCUSr_CJ!$H$174</f>
        <v>0.29688825269871133</v>
      </c>
      <c r="C175" s="165">
        <f t="shared" ref="C175" si="156">100*B175/B$8</f>
        <v>184.97710448517839</v>
      </c>
      <c r="D175" s="166">
        <f t="shared" ref="D175" si="157">100*(B175/B174-1)</f>
        <v>-2.9999999999985594E-2</v>
      </c>
      <c r="E175" s="166">
        <f t="shared" ref="E175" si="158">100*(B175/B$166-1)</f>
        <v>1.4067488150233176</v>
      </c>
      <c r="F175" s="169">
        <f t="shared" ref="F175" si="159">(100*(B175/B163-1))</f>
        <v>1.7315658827594227</v>
      </c>
      <c r="G175" s="170">
        <f t="shared" ref="G175" si="160">100*(B175/B151-1)</f>
        <v>11.522025299168126</v>
      </c>
      <c r="H175" s="174">
        <f t="shared" si="98"/>
        <v>1.1019270455156434</v>
      </c>
    </row>
    <row r="176" spans="1:8" ht="16.5" customHeight="1">
      <c r="A176" s="163" t="str">
        <f>Seguros!A176</f>
        <v>OUTUBRO|17</v>
      </c>
      <c r="B176" s="194">
        <f>[222]PLANCUSr_CJ!$H$174</f>
        <v>0.29682887504817157</v>
      </c>
      <c r="C176" s="165">
        <f t="shared" ref="C176" si="161">100*B176/B$8</f>
        <v>184.94010906428133</v>
      </c>
      <c r="D176" s="166">
        <f t="shared" ref="D176" si="162">100*(B176/B175-1)</f>
        <v>-2.00000000000089E-2</v>
      </c>
      <c r="E176" s="166">
        <f t="shared" ref="E176" si="163">100*(B176/B$166-1)</f>
        <v>1.3864674652603215</v>
      </c>
      <c r="F176" s="169">
        <f t="shared" ref="F176" si="164">(100*(B176/B164-1))</f>
        <v>1.6299156370732204</v>
      </c>
      <c r="G176" s="170">
        <f t="shared" ref="G176" si="165">100*(B176/B152-1)</f>
        <v>10.933957709788356</v>
      </c>
      <c r="H176" s="174">
        <f t="shared" si="98"/>
        <v>1.1021474750106457</v>
      </c>
    </row>
    <row r="177" spans="1:8" ht="16.5" customHeight="1">
      <c r="A177" s="163" t="str">
        <f>Seguros!A177</f>
        <v>NOVEMBRO|17</v>
      </c>
      <c r="B177" s="194">
        <f>[223]PLANCUSr_CJ!$H$174</f>
        <v>0.29792714188584979</v>
      </c>
      <c r="C177" s="165">
        <f t="shared" ref="C177" si="166">100*B177/B$8</f>
        <v>185.62438746781919</v>
      </c>
      <c r="D177" s="166">
        <f t="shared" ref="D177" si="167">100*(B177/B176-1)</f>
        <v>0.37000000000000366</v>
      </c>
      <c r="E177" s="166">
        <f t="shared" ref="E177" si="168">100*(B177/B$166-1)</f>
        <v>1.7615973948817754</v>
      </c>
      <c r="F177" s="169">
        <f t="shared" ref="F177" si="169">(100*(B177/B165-1))</f>
        <v>1.8328305130581812</v>
      </c>
      <c r="G177" s="170">
        <f t="shared" ref="G177" si="170">100*(B177/B153-1)</f>
        <v>10.493612536781338</v>
      </c>
      <c r="H177" s="174">
        <f t="shared" si="98"/>
        <v>1.0980845621307618</v>
      </c>
    </row>
    <row r="178" spans="1:8" ht="16.5" customHeight="1">
      <c r="A178" s="163" t="str">
        <f>Seguros!A178</f>
        <v>DEZEMBRO|17</v>
      </c>
      <c r="B178" s="194">
        <f>[224]PLANCUSr_CJ!$H$174</f>
        <v>0.29846341074124433</v>
      </c>
      <c r="C178" s="165">
        <f t="shared" ref="C178" si="171">100*B178/B$8</f>
        <v>185.95851136526124</v>
      </c>
      <c r="D178" s="166">
        <f t="shared" ref="D178" si="172">100*(B178/B177-1)</f>
        <v>0.18000000000000238</v>
      </c>
      <c r="E178" s="166">
        <f t="shared" ref="E178" si="173">100*(B178/B$166-1)</f>
        <v>1.944768270192565</v>
      </c>
      <c r="F178" s="169">
        <f t="shared" ref="F178" si="174">(100*(B178/B166-1))</f>
        <v>1.944768270192565</v>
      </c>
      <c r="G178" s="170">
        <f t="shared" ref="G178" si="175">100*(B178/B154-1)</f>
        <v>9.4773029763105079</v>
      </c>
      <c r="H178" s="174">
        <f t="shared" si="98"/>
        <v>1.0961115613203851</v>
      </c>
    </row>
    <row r="179" spans="1:8" ht="16.5" customHeight="1">
      <c r="A179" s="163" t="str">
        <f>Seguros!A179</f>
        <v>JANEIRO|18</v>
      </c>
      <c r="B179" s="194">
        <f>[225]PLANCUSr_CJ!$H$174</f>
        <v>0.29923941560917156</v>
      </c>
      <c r="C179" s="165">
        <f t="shared" ref="C179" si="176">100*B179/B$8</f>
        <v>186.44200349481093</v>
      </c>
      <c r="D179" s="166">
        <f t="shared" ref="D179" si="177">100*(B179/B178-1)</f>
        <v>0.25999999999999357</v>
      </c>
      <c r="E179" s="166">
        <f t="shared" ref="E179:E184" si="178">100*(B179/B$178-1)</f>
        <v>0.25999999999999357</v>
      </c>
      <c r="F179" s="169">
        <f t="shared" ref="F179" si="179">(100*(B179/B167-1))</f>
        <v>2.0669309643449596</v>
      </c>
      <c r="G179" s="170">
        <f t="shared" ref="G179" si="180">100*(B179/B155-1)</f>
        <v>8.7828978831010041</v>
      </c>
      <c r="H179" s="174">
        <f t="shared" si="98"/>
        <v>1.0932690617598098</v>
      </c>
    </row>
    <row r="180" spans="1:8" ht="16.5" customHeight="1">
      <c r="A180" s="163" t="str">
        <f>Seguros!A180</f>
        <v>FEVEREIRO|18</v>
      </c>
      <c r="B180" s="194">
        <f>[226]PLANCUSr_CJ!$H$174</f>
        <v>0.29992766626507267</v>
      </c>
      <c r="C180" s="165">
        <f t="shared" ref="C180" si="181">100*B180/B$8</f>
        <v>186.870820102849</v>
      </c>
      <c r="D180" s="166">
        <f t="shared" ref="D180" si="182">100*(B180/B179-1)</f>
        <v>0.22999999999999687</v>
      </c>
      <c r="E180" s="166">
        <f t="shared" si="178"/>
        <v>0.49059799999999765</v>
      </c>
      <c r="F180" s="169">
        <f t="shared" ref="F180" si="183">(100*(B180/B168-1))</f>
        <v>1.8738148830541368</v>
      </c>
      <c r="G180" s="170">
        <f t="shared" ref="G180" si="184">100*(B180/B156-1)</f>
        <v>7.4111895854912291</v>
      </c>
      <c r="H180" s="174">
        <f t="shared" si="98"/>
        <v>1.090760313039818</v>
      </c>
    </row>
    <row r="181" spans="1:8" ht="16.5" customHeight="1">
      <c r="A181" s="163" t="str">
        <f>Seguros!A181</f>
        <v>MARÇO|18</v>
      </c>
      <c r="B181" s="194">
        <f>[227]PLANCUSr_CJ!$H$174</f>
        <v>0.30046753606434978</v>
      </c>
      <c r="C181" s="165">
        <f t="shared" ref="C181" si="185">100*B181/B$8</f>
        <v>187.20718757903413</v>
      </c>
      <c r="D181" s="166">
        <f t="shared" ref="D181" si="186">100*(B181/B180-1)</f>
        <v>0.18000000000000238</v>
      </c>
      <c r="E181" s="166">
        <f t="shared" si="178"/>
        <v>0.67148107640000454</v>
      </c>
      <c r="F181" s="169">
        <f t="shared" ref="F181" si="187">(100*(B181/B169-1))</f>
        <v>1.8128369411847922</v>
      </c>
      <c r="G181" s="170">
        <f t="shared" ref="G181" si="188">100*(B181/B157-1)</f>
        <v>6.5919066139129345</v>
      </c>
      <c r="H181" s="174">
        <f t="shared" si="98"/>
        <v>1.0888004721898763</v>
      </c>
    </row>
    <row r="182" spans="1:8" ht="16.5" customHeight="1">
      <c r="A182" s="163" t="str">
        <f>Seguros!A182</f>
        <v>ABRIL|18</v>
      </c>
      <c r="B182" s="194">
        <f>[228]PLANCUSr_CJ!$H$174</f>
        <v>0.30067786333959479</v>
      </c>
      <c r="C182" s="165">
        <f t="shared" ref="C182" si="189">100*B182/B$8</f>
        <v>187.33823261033942</v>
      </c>
      <c r="D182" s="166">
        <f t="shared" ref="D182" si="190">100*(B182/B181-1)</f>
        <v>6.9999999999992291E-2</v>
      </c>
      <c r="E182" s="166">
        <f t="shared" si="178"/>
        <v>0.74195111315347173</v>
      </c>
      <c r="F182" s="169">
        <f t="shared" ref="F182" si="191">(100*(B182/B170-1))</f>
        <v>1.55911675343261</v>
      </c>
      <c r="G182" s="170">
        <f t="shared" ref="G182" si="192">100*(B182/B158-1)</f>
        <v>6.1992442737382358</v>
      </c>
      <c r="H182" s="174">
        <f t="shared" si="98"/>
        <v>1.0880388449983776</v>
      </c>
    </row>
    <row r="183" spans="1:8" ht="16.5" customHeight="1">
      <c r="A183" s="163" t="str">
        <f>Seguros!A183</f>
        <v>MAIO|18</v>
      </c>
      <c r="B183" s="194">
        <f>[229]PLANCUSr_CJ!$H$174</f>
        <v>0.30130928685260794</v>
      </c>
      <c r="C183" s="165">
        <f t="shared" ref="C183" si="193">100*B183/B$8</f>
        <v>187.73164289882115</v>
      </c>
      <c r="D183" s="166">
        <f t="shared" ref="D183" si="194">100*(B183/B182-1)</f>
        <v>0.20999999999999908</v>
      </c>
      <c r="E183" s="166">
        <f t="shared" si="178"/>
        <v>0.95350921049108806</v>
      </c>
      <c r="F183" s="169">
        <f t="shared" ref="F183" si="195">(100*(B183/B171-1))</f>
        <v>1.6910380681602888</v>
      </c>
      <c r="G183" s="170">
        <f t="shared" ref="G183" si="196">100*(B183/B159-1)</f>
        <v>5.7454915408516216</v>
      </c>
      <c r="H183" s="174">
        <f t="shared" si="98"/>
        <v>1.0857587516199756</v>
      </c>
    </row>
    <row r="184" spans="1:8" ht="16.5" customHeight="1">
      <c r="A184" s="163" t="str">
        <f>Seguros!A184</f>
        <v>JUNHO|18</v>
      </c>
      <c r="B184" s="194">
        <f>[230]PLANCUSr_CJ!$H$174</f>
        <v>0.30260491678607415</v>
      </c>
      <c r="C184" s="165">
        <f t="shared" ref="C184" si="197">100*B184/B$8</f>
        <v>188.53888896328607</v>
      </c>
      <c r="D184" s="166">
        <f t="shared" ref="D184" si="198">100*(B184/B183-1)</f>
        <v>0.42999999999999705</v>
      </c>
      <c r="E184" s="166">
        <f t="shared" si="178"/>
        <v>1.3876093000962042</v>
      </c>
      <c r="F184" s="169">
        <f t="shared" ref="F184" si="199">(100*(B184/B172-1))</f>
        <v>1.7619664526239198</v>
      </c>
      <c r="G184" s="170">
        <f t="shared" ref="G184" si="200">100*(B184/B160-1)</f>
        <v>5.169535704572481</v>
      </c>
      <c r="H184" s="174">
        <f t="shared" si="98"/>
        <v>1.0811099787115162</v>
      </c>
    </row>
    <row r="185" spans="1:8" ht="16.5" customHeight="1">
      <c r="A185" s="163" t="str">
        <f>Seguros!A185</f>
        <v>JULHO|18</v>
      </c>
      <c r="B185" s="194">
        <f>[231]PLANCUSr_CJ!$H$174</f>
        <v>0.30693216709611498</v>
      </c>
      <c r="C185" s="165">
        <f t="shared" ref="C185" si="201">100*B185/B$8</f>
        <v>191.23499507546103</v>
      </c>
      <c r="D185" s="166">
        <f t="shared" ref="D185" si="202">100*(B185/B184-1)</f>
        <v>1.4299999999999979</v>
      </c>
      <c r="E185" s="166">
        <f t="shared" ref="E185" si="203">100*(B185/B$178-1)</f>
        <v>2.8374521130875685</v>
      </c>
      <c r="F185" s="169">
        <f t="shared" ref="F185" si="204">(100*(B185/B173-1))</f>
        <v>3.5277458103274206</v>
      </c>
      <c r="G185" s="170">
        <f t="shared" ref="G185" si="205">100*(B185/B161-1)</f>
        <v>6.1744401962256168</v>
      </c>
      <c r="H185" s="174">
        <f t="shared" si="98"/>
        <v>1.0658680653766304</v>
      </c>
    </row>
    <row r="186" spans="1:8" ht="16.5" customHeight="1">
      <c r="A186" s="163" t="str">
        <f>Seguros!A186</f>
        <v>AGOSTO|18</v>
      </c>
      <c r="B186" s="194">
        <f>[232]PLANCUSr_CJ!$H$174</f>
        <v>0.30769949751385528</v>
      </c>
      <c r="C186" s="165">
        <f t="shared" ref="C186" si="206">100*B186/B$8</f>
        <v>191.7130825631497</v>
      </c>
      <c r="D186" s="166">
        <f t="shared" ref="D186" si="207">100*(B186/B185-1)</f>
        <v>0.24999999999999467</v>
      </c>
      <c r="E186" s="166">
        <f t="shared" ref="E186" si="208">100*(B186/B$178-1)</f>
        <v>3.0945457433702916</v>
      </c>
      <c r="F186" s="169">
        <f t="shared" ref="F186" si="209">(100*(B186/B174-1))</f>
        <v>3.6104274481913112</v>
      </c>
      <c r="G186" s="170">
        <f t="shared" ref="G186" si="210">100*(B186/B162-1)</f>
        <v>5.7629931406162349</v>
      </c>
      <c r="H186" s="174">
        <f t="shared" si="98"/>
        <v>1.0632100402759406</v>
      </c>
    </row>
    <row r="187" spans="1:8" ht="16.5" customHeight="1">
      <c r="A187" s="163" t="str">
        <f>Seguros!A187</f>
        <v>SETEMBRO|18</v>
      </c>
      <c r="B187" s="194">
        <f>[233]PLANCUSr_CJ!$H$174</f>
        <v>0.30769949751385528</v>
      </c>
      <c r="C187" s="165">
        <f t="shared" ref="C187" si="211">100*B187/B$8</f>
        <v>191.7130825631497</v>
      </c>
      <c r="D187" s="166">
        <f t="shared" ref="D187" si="212">100*(B187/B186-1)</f>
        <v>0</v>
      </c>
      <c r="E187" s="166">
        <f t="shared" ref="E187" si="213">100*(B187/B$178-1)</f>
        <v>3.0945457433702916</v>
      </c>
      <c r="F187" s="169">
        <f t="shared" ref="F187" si="214">(100*(B187/B175-1))</f>
        <v>3.641519904162549</v>
      </c>
      <c r="G187" s="170">
        <f t="shared" ref="G187" si="215">100*(B187/B163-1)</f>
        <v>5.4361411031963236</v>
      </c>
      <c r="H187" s="174">
        <f t="shared" si="98"/>
        <v>1.0632100402759406</v>
      </c>
    </row>
    <row r="188" spans="1:8" ht="16.5" customHeight="1">
      <c r="A188" s="163" t="str">
        <f>Seguros!A188</f>
        <v>OUTUBRO|18</v>
      </c>
      <c r="B188" s="194">
        <f>[234]PLANCUSr_CJ!$H$174</f>
        <v>0.3086225960063968</v>
      </c>
      <c r="C188" s="165">
        <f t="shared" ref="C188" si="216">100*B188/B$8</f>
        <v>192.2882218108391</v>
      </c>
      <c r="D188" s="166">
        <f t="shared" ref="D188" si="217">100*(B188/B187-1)</f>
        <v>0.29999999999998916</v>
      </c>
      <c r="E188" s="166">
        <f t="shared" ref="E188" si="218">100*(B188/B$178-1)</f>
        <v>3.4038293806003761</v>
      </c>
      <c r="F188" s="169">
        <f t="shared" ref="F188" si="219">(100*(B188/B176-1))</f>
        <v>3.9732391116973576</v>
      </c>
      <c r="G188" s="170">
        <f t="shared" ref="G188" si="220">100*(B188/B164-1)</f>
        <v>5.6679151943504369</v>
      </c>
      <c r="H188" s="174">
        <f t="shared" si="98"/>
        <v>1.0600299504246666</v>
      </c>
    </row>
    <row r="189" spans="1:8" ht="16.5" customHeight="1">
      <c r="A189" s="163" t="str">
        <f>Seguros!A189</f>
        <v>NOVEMBRO|18</v>
      </c>
      <c r="B189" s="194">
        <f>[235]PLANCUSr_CJ!$H$174</f>
        <v>0.30985708639042236</v>
      </c>
      <c r="C189" s="165">
        <f t="shared" ref="C189" si="221">100*B189/B$8</f>
        <v>193.05737469808247</v>
      </c>
      <c r="D189" s="166">
        <f t="shared" ref="D189" si="222">100*(B189/B188-1)</f>
        <v>0.40000000000000036</v>
      </c>
      <c r="E189" s="166">
        <f t="shared" ref="E189" si="223">100*(B189/B$178-1)</f>
        <v>3.8174446981227739</v>
      </c>
      <c r="F189" s="169">
        <f t="shared" ref="F189" si="224">(100*(B189/B177-1))</f>
        <v>4.004316098579408</v>
      </c>
      <c r="G189" s="170">
        <f t="shared" ref="G189" si="225">100*(B189/B165-1)</f>
        <v>5.9105389389316532</v>
      </c>
      <c r="H189" s="174">
        <f t="shared" si="98"/>
        <v>1.0558067235305446</v>
      </c>
    </row>
    <row r="190" spans="1:8" ht="16.5" customHeight="1">
      <c r="A190" s="163" t="str">
        <f>Seguros!A190</f>
        <v>DEZEMBRO|18</v>
      </c>
      <c r="B190" s="194">
        <f>[236]PLANCUSr_CJ!$H$174</f>
        <v>0.30908244367444632</v>
      </c>
      <c r="C190" s="165">
        <f t="shared" ref="C190" si="226">100*B190/B$8</f>
        <v>192.57473126133726</v>
      </c>
      <c r="D190" s="166">
        <f t="shared" ref="D190" si="227">100*(B190/B189-1)</f>
        <v>-0.24999999999999467</v>
      </c>
      <c r="E190" s="166">
        <f>100*(B190/B$178-1)</f>
        <v>3.5579010863774796</v>
      </c>
      <c r="F190" s="169">
        <f t="shared" ref="F190" si="228">(100*(B190/B178-1))</f>
        <v>3.5579010863774796</v>
      </c>
      <c r="G190" s="170">
        <f t="shared" ref="G190" si="229">100*(B190/B166-1)</f>
        <v>5.5718622879827429</v>
      </c>
      <c r="H190" s="174">
        <f t="shared" si="98"/>
        <v>1.0584528556697188</v>
      </c>
    </row>
    <row r="191" spans="1:8" ht="16.5" customHeight="1">
      <c r="A191" s="163" t="str">
        <f>Seguros!A191</f>
        <v>JANEIRO|19</v>
      </c>
      <c r="B191" s="194">
        <f>[237]PLANCUSr_CJ!$H$174</f>
        <v>0.30951502226071903</v>
      </c>
      <c r="C191" s="165">
        <f t="shared" ref="C191" si="230">100*B191/B$8</f>
        <v>192.84425062973148</v>
      </c>
      <c r="D191" s="166">
        <f t="shared" ref="D191" si="231">100*(B191/B190-1)</f>
        <v>0.13995572868199524</v>
      </c>
      <c r="E191" s="166">
        <f t="shared" ref="E191:E196" si="232">100*(B191/B$190-1)</f>
        <v>0.13995572868199524</v>
      </c>
      <c r="F191" s="169">
        <f t="shared" ref="F191" si="233">(100*(B191/B179-1))</f>
        <v>3.4339081402859684</v>
      </c>
      <c r="G191" s="170">
        <f t="shared" ref="G191" si="234">100*(B191/B167-1)</f>
        <v>5.5718156152696485</v>
      </c>
      <c r="H191" s="174">
        <f t="shared" si="98"/>
        <v>1.0569735606209756</v>
      </c>
    </row>
    <row r="192" spans="1:8" ht="16.5" customHeight="1">
      <c r="A192" s="196" t="str">
        <f>Seguros!A192</f>
        <v>FEVEREIRO|19</v>
      </c>
      <c r="B192" s="286">
        <f>[238]PLANCUSr_CJ!$H$174</f>
        <v>0.31062927634085763</v>
      </c>
      <c r="C192" s="197">
        <f t="shared" ref="C192" si="235">100*B192/B$8</f>
        <v>193.53848993199853</v>
      </c>
      <c r="D192" s="198">
        <f t="shared" ref="D192" si="236">100*(B192/B191-1)</f>
        <v>0.36000000000000476</v>
      </c>
      <c r="E192" s="198">
        <f t="shared" si="232"/>
        <v>0.50045956930526714</v>
      </c>
      <c r="F192" s="199">
        <f t="shared" ref="F192" si="237">(100*(B192/B180-1))</f>
        <v>3.5680636631657103</v>
      </c>
      <c r="G192" s="200">
        <f t="shared" ref="G192" si="238">100*(B192/B168-1)</f>
        <v>5.5087374541770817</v>
      </c>
      <c r="H192" s="174">
        <f t="shared" si="98"/>
        <v>1.0531821050428214</v>
      </c>
    </row>
    <row r="193" spans="1:8" ht="16.5" customHeight="1">
      <c r="A193" s="196" t="str">
        <f>Seguros!A193</f>
        <v>MARÇO|19</v>
      </c>
      <c r="B193" s="286">
        <f>[239]PLANCUSr_CJ!$H$174</f>
        <v>0.31230667443309829</v>
      </c>
      <c r="C193" s="197">
        <f t="shared" ref="C193" si="239">100*B193/B$8</f>
        <v>194.58359777763133</v>
      </c>
      <c r="D193" s="198">
        <f t="shared" ref="D193" si="240">100*(B193/B192-1)</f>
        <v>0.54000000000000714</v>
      </c>
      <c r="E193" s="198">
        <f t="shared" si="232"/>
        <v>1.0431620509795181</v>
      </c>
      <c r="F193" s="199">
        <f t="shared" ref="F193" si="241">(100*(B193/B181-1))</f>
        <v>3.940238777147953</v>
      </c>
      <c r="G193" s="200">
        <f t="shared" ref="G193" si="242">100*(B193/B169-1)</f>
        <v>5.82450582245575</v>
      </c>
      <c r="H193" s="174">
        <f t="shared" si="98"/>
        <v>1.0475254675182231</v>
      </c>
    </row>
    <row r="194" spans="1:8" ht="16.5" customHeight="1">
      <c r="A194" s="196" t="str">
        <f>Seguros!A194</f>
        <v>ABRIL|19</v>
      </c>
      <c r="B194" s="286">
        <f>[240]PLANCUSr_CJ!$H$174</f>
        <v>0.31471143582623318</v>
      </c>
      <c r="C194" s="197">
        <f t="shared" ref="C194" si="243">100*B194/B$8</f>
        <v>196.08189148051909</v>
      </c>
      <c r="D194" s="198">
        <f t="shared" ref="D194" si="244">100*(B194/B193-1)</f>
        <v>0.77000000000000401</v>
      </c>
      <c r="E194" s="198">
        <f t="shared" si="232"/>
        <v>1.8211943987720636</v>
      </c>
      <c r="F194" s="199">
        <f t="shared" ref="F194" si="245">(100*(B194/B182-1))</f>
        <v>4.6673114976836239</v>
      </c>
      <c r="G194" s="200">
        <f t="shared" ref="G194" si="246">100*(B194/B170-1)</f>
        <v>6.2991970866115077</v>
      </c>
      <c r="H194" s="174">
        <f t="shared" si="98"/>
        <v>1.0395211546275904</v>
      </c>
    </row>
    <row r="195" spans="1:8" ht="16.5" customHeight="1">
      <c r="A195" s="196" t="str">
        <f>Seguros!A195</f>
        <v>MAIO|19</v>
      </c>
      <c r="B195" s="286">
        <f>[241]PLANCUSr_CJ!$H$174</f>
        <v>0.31659970444119057</v>
      </c>
      <c r="C195" s="197">
        <f t="shared" ref="C195" si="247">100*B195/B$8</f>
        <v>197.25838282940222</v>
      </c>
      <c r="D195" s="198">
        <f t="shared" ref="D195" si="248">100*(B195/B194-1)</f>
        <v>0.60000000000000053</v>
      </c>
      <c r="E195" s="198">
        <f t="shared" si="232"/>
        <v>2.4321215651647021</v>
      </c>
      <c r="F195" s="199">
        <f t="shared" ref="F195" si="249">(100*(B195/B183-1))</f>
        <v>5.0746585836440872</v>
      </c>
      <c r="G195" s="200">
        <f t="shared" ref="G195" si="250">100*(B195/B171-1)</f>
        <v>6.8515110602829443</v>
      </c>
      <c r="H195" s="174">
        <f t="shared" si="98"/>
        <v>1.0333212272640064</v>
      </c>
    </row>
    <row r="196" spans="1:8" ht="16.5" customHeight="1">
      <c r="A196" s="196" t="str">
        <f>Seguros!A196</f>
        <v>JUNHO|19</v>
      </c>
      <c r="B196" s="286">
        <f>[242]PLANCUSr_CJ!$H$174</f>
        <v>0.31707441292768601</v>
      </c>
      <c r="C196" s="197">
        <f t="shared" ref="C196" si="251">100*B196/B$8</f>
        <v>197.55415135681369</v>
      </c>
      <c r="D196" s="198">
        <f t="shared" ref="D196" si="252">100*(B196/B195-1)</f>
        <v>0.14993964929099768</v>
      </c>
      <c r="E196" s="198">
        <f t="shared" si="232"/>
        <v>2.5857079290008356</v>
      </c>
      <c r="F196" s="199">
        <f t="shared" ref="F196" si="253">(100*(B196/B184-1))</f>
        <v>4.781646080073787</v>
      </c>
      <c r="G196" s="200">
        <f t="shared" ref="G196" si="254">100*(B196/B172-1)</f>
        <v>6.6278635325118129</v>
      </c>
      <c r="H196" s="174">
        <f t="shared" si="98"/>
        <v>1.0317741886640486</v>
      </c>
    </row>
    <row r="197" spans="1:8" ht="16.5" customHeight="1">
      <c r="A197" s="196" t="str">
        <f>Seguros!A197</f>
        <v>JULHO|19</v>
      </c>
      <c r="B197" s="286">
        <f>[243]PLANCUSr_CJ!$H$174</f>
        <v>0.317105862364917</v>
      </c>
      <c r="C197" s="197">
        <f t="shared" ref="C197" si="255">100*B197/B$8</f>
        <v>197.57374602175514</v>
      </c>
      <c r="D197" s="198">
        <f t="shared" ref="D197" si="256">100*(B197/B196-1)</f>
        <v>9.9186298069930956E-3</v>
      </c>
      <c r="E197" s="198">
        <f t="shared" ref="E197" si="257">100*(B197/B$190-1)</f>
        <v>2.5958830256051835</v>
      </c>
      <c r="F197" s="199">
        <f t="shared" ref="F197" si="258">(100*(B197/B185-1))</f>
        <v>3.3146396368472386</v>
      </c>
      <c r="G197" s="200">
        <f t="shared" ref="G197" si="259">100*(B197/B173-1)</f>
        <v>6.9593175080909786</v>
      </c>
      <c r="H197" s="174">
        <f t="shared" si="98"/>
        <v>1.0316718609513378</v>
      </c>
    </row>
    <row r="198" spans="1:8" ht="16.5" customHeight="1">
      <c r="A198" s="196" t="str">
        <f>Seguros!A198</f>
        <v>AGOSTO|19</v>
      </c>
      <c r="B198" s="286">
        <f>[244]PLANCUSr_CJ!$H$174</f>
        <v>0.31742273027965223</v>
      </c>
      <c r="C198" s="197">
        <f t="shared" ref="C198" si="260">100*B198/B$8</f>
        <v>197.77117151380199</v>
      </c>
      <c r="D198" s="198">
        <f t="shared" ref="D198" si="261">100*(B198/B197-1)</f>
        <v>9.9924962715003396E-2</v>
      </c>
      <c r="E198" s="198">
        <f t="shared" ref="E198" si="262">100*(B198/B$190-1)</f>
        <v>2.6984019234656653</v>
      </c>
      <c r="F198" s="199">
        <f t="shared" ref="F198" si="263">(100*(B198/B186-1))</f>
        <v>3.1599768099585868</v>
      </c>
      <c r="G198" s="200">
        <f t="shared" ref="G198" si="264">100*(B198/B174-1)</f>
        <v>6.8844929282531275</v>
      </c>
      <c r="H198" s="174">
        <f t="shared" si="98"/>
        <v>1.030641992324782</v>
      </c>
    </row>
    <row r="199" spans="1:8" ht="16.5" customHeight="1">
      <c r="A199" s="196" t="str">
        <f>Seguros!A199</f>
        <v>SETEMBRO|19</v>
      </c>
      <c r="B199" s="286">
        <f>[245]PLANCUSr_CJ!$H$174</f>
        <v>0.31780368384006591</v>
      </c>
      <c r="C199" s="197">
        <f t="shared" ref="C199" si="265">100*B199/B$8</f>
        <v>198.00852575705039</v>
      </c>
      <c r="D199" s="198">
        <f t="shared" ref="D199" si="266">100*(B199/B198-1)</f>
        <v>0.12001458121100317</v>
      </c>
      <c r="E199" s="198">
        <f t="shared" ref="E199" si="267">100*(B199/B$190-1)</f>
        <v>2.8216549804445101</v>
      </c>
      <c r="F199" s="199">
        <f t="shared" ref="F199" si="268">(100*(B199/B187-1))</f>
        <v>3.2837838241044359</v>
      </c>
      <c r="G199" s="200">
        <f t="shared" ref="G199" si="269">100*(B199/B175-1)</f>
        <v>7.0448833698314228</v>
      </c>
      <c r="H199" s="174">
        <f t="shared" si="98"/>
        <v>1.0294065543596087</v>
      </c>
    </row>
    <row r="200" spans="1:8" ht="16.5" customHeight="1">
      <c r="A200" s="196" t="str">
        <f>Seguros!A200</f>
        <v>OUTUBRO|19</v>
      </c>
      <c r="B200" s="286">
        <f>[246]PLANCUSr_CJ!$H$174</f>
        <v>0.31764465649708978</v>
      </c>
      <c r="C200" s="197">
        <f t="shared" ref="C200" si="270">100*B200/B$8</f>
        <v>197.90944330036746</v>
      </c>
      <c r="D200" s="198">
        <f t="shared" ref="D200" si="271">100*(B200/B199-1)</f>
        <v>-5.0039490119990759E-2</v>
      </c>
      <c r="E200" s="198">
        <f t="shared" ref="E200" si="272">100*(B200/B$190-1)</f>
        <v>2.7702035485593468</v>
      </c>
      <c r="F200" s="199">
        <f t="shared" ref="F200" si="273">(100*(B200/B188-1))</f>
        <v>2.9233311518467087</v>
      </c>
      <c r="G200" s="200">
        <f t="shared" ref="G200" si="274">100*(B200/B176-1)</f>
        <v>7.0127212002336625</v>
      </c>
      <c r="H200" s="174">
        <f t="shared" si="98"/>
        <v>1.0299219220380307</v>
      </c>
    </row>
    <row r="201" spans="1:8" ht="16.5" customHeight="1">
      <c r="A201" s="196" t="str">
        <f>Seguros!A201</f>
        <v>NOVEMBRO|19</v>
      </c>
      <c r="B201" s="286">
        <f>[247]PLANCUSr_CJ!$H$174</f>
        <v>0.31777164101722727</v>
      </c>
      <c r="C201" s="197">
        <f t="shared" ref="C201" si="275">100*B201/B$8</f>
        <v>197.98856138144998</v>
      </c>
      <c r="D201" s="198">
        <f t="shared" ref="D201" si="276">100*(B201/B200-1)</f>
        <v>3.9976910531991372E-2</v>
      </c>
      <c r="E201" s="198">
        <f t="shared" ref="E201" si="277">100*(B201/B$190-1)</f>
        <v>2.8112879008854952</v>
      </c>
      <c r="F201" s="199">
        <f t="shared" ref="F201" si="278">(100*(B201/B189-1))</f>
        <v>2.5542596811332974</v>
      </c>
      <c r="G201" s="200">
        <f t="shared" ref="G201" si="279">100*(B201/B177-1)</f>
        <v>6.6608564113238344</v>
      </c>
      <c r="H201" s="174">
        <f t="shared" si="98"/>
        <v>1.0295103556042531</v>
      </c>
    </row>
    <row r="202" spans="1:8" ht="16.5" customHeight="1">
      <c r="A202" s="196" t="str">
        <f>Seguros!A202</f>
        <v>DEZEMBRO|19</v>
      </c>
      <c r="B202" s="286">
        <f>[248]PLANCUSr_CJ!$H$174</f>
        <v>0.31948771219591116</v>
      </c>
      <c r="C202" s="197">
        <f t="shared" ref="C202" si="280">100*B202/B$8</f>
        <v>199.05776460804432</v>
      </c>
      <c r="D202" s="198">
        <f t="shared" ref="D202" si="281">100*(B202/B201-1)</f>
        <v>0.54003282772199235</v>
      </c>
      <c r="E202" s="198">
        <f t="shared" ref="E202" si="282">100*(B202/B$190-1)</f>
        <v>3.3665026061540537</v>
      </c>
      <c r="F202" s="199">
        <f t="shared" ref="F202" si="283">(100*(B202/B190-1))</f>
        <v>3.3665026061540537</v>
      </c>
      <c r="G202" s="200">
        <f t="shared" ref="G202" si="284">100*(B202/B178-1)</f>
        <v>7.0441805253288026</v>
      </c>
      <c r="H202" s="174">
        <f t="shared" si="98"/>
        <v>1.0239805246218157</v>
      </c>
    </row>
    <row r="203" spans="1:8" ht="16.5" customHeight="1">
      <c r="A203" s="196" t="str">
        <f>Seguros!A203</f>
        <v>JANEIRO|20</v>
      </c>
      <c r="B203" s="286">
        <f>[249]PLANCUSr_CJ!$H$174</f>
        <v>0.32338566225565135</v>
      </c>
      <c r="C203" s="197">
        <f t="shared" ref="C203" si="285">100*B203/B$8</f>
        <v>201.48639392875475</v>
      </c>
      <c r="D203" s="198">
        <f t="shared" ref="D203" si="286">100*(B203/B202-1)</f>
        <v>1.2200625911239937</v>
      </c>
      <c r="E203" s="198">
        <f t="shared" ref="E203:E208" si="287">100*(B203/B$202-1)</f>
        <v>1.2200625911239937</v>
      </c>
      <c r="F203" s="199">
        <f t="shared" ref="F203" si="288">(100*(B203/B191-1))</f>
        <v>4.4814109162198967</v>
      </c>
      <c r="G203" s="200">
        <f t="shared" ref="G203" si="289">100*(B203/B179-1)</f>
        <v>8.0692065907576058</v>
      </c>
      <c r="H203" s="174">
        <f t="shared" si="98"/>
        <v>1.0116379089372434</v>
      </c>
    </row>
    <row r="204" spans="1:8" ht="16.5" customHeight="1">
      <c r="A204" s="196" t="str">
        <f>Seguros!A204</f>
        <v>FEVEREIRO|20</v>
      </c>
      <c r="B204" s="286">
        <f>[250]PLANCUSr_CJ!$H$174</f>
        <v>0.32400009501393712</v>
      </c>
      <c r="C204" s="197">
        <f t="shared" ref="C204" si="290">100*B204/B$8</f>
        <v>201.86921807721939</v>
      </c>
      <c r="D204" s="198">
        <f t="shared" ref="D204" si="291">100*(B204/B203-1)</f>
        <v>0.19000000000000128</v>
      </c>
      <c r="E204" s="198">
        <f t="shared" si="287"/>
        <v>1.4123807100471453</v>
      </c>
      <c r="F204" s="199">
        <f t="shared" ref="F204" si="292">(100*(B204/B192-1))</f>
        <v>4.304429650219932</v>
      </c>
      <c r="G204" s="200">
        <f t="shared" ref="G204" si="293">100*(B204/B180-1)</f>
        <v>8.026078103641666</v>
      </c>
      <c r="H204" s="174">
        <f t="shared" si="98"/>
        <v>1.009719441997448</v>
      </c>
    </row>
    <row r="205" spans="1:8" ht="16.5" customHeight="1">
      <c r="A205" s="196" t="str">
        <f>Seguros!A205</f>
        <v>MARÇO|20</v>
      </c>
      <c r="B205" s="286">
        <f>[251]PLANCUSr_CJ!$H$174</f>
        <v>0.32455075733186567</v>
      </c>
      <c r="C205" s="197">
        <f t="shared" ref="C205" si="294">100*B205/B$8</f>
        <v>202.21230986409077</v>
      </c>
      <c r="D205" s="198">
        <f t="shared" ref="D205" si="295">100*(B205/B204-1)</f>
        <v>0.16995745569299281</v>
      </c>
      <c r="E205" s="198">
        <f t="shared" si="287"/>
        <v>1.5847386120596108</v>
      </c>
      <c r="F205" s="199">
        <f t="shared" ref="F205" si="296">(100*(B205/B193-1))</f>
        <v>3.9205319325925192</v>
      </c>
      <c r="G205" s="200">
        <f t="shared" ref="G205" si="297">100*(B205/B181-1)</f>
        <v>8.0152490292189515</v>
      </c>
      <c r="H205" s="174">
        <f t="shared" si="98"/>
        <v>1.0080062602043787</v>
      </c>
    </row>
    <row r="206" spans="1:8" ht="16.5" customHeight="1">
      <c r="A206" s="196" t="str">
        <f>Seguros!A206</f>
        <v>ABRIL|20</v>
      </c>
      <c r="B206" s="286">
        <f>[252]PLANCUSr_CJ!$H$174</f>
        <v>0.32513524265854726</v>
      </c>
      <c r="C206" s="197">
        <f t="shared" ref="C206" si="298">100*B206/B$8</f>
        <v>202.57647517666496</v>
      </c>
      <c r="D206" s="198">
        <f t="shared" ref="D206" si="299">100*(B206/B205-1)</f>
        <v>0.18009057550401053</v>
      </c>
      <c r="E206" s="198">
        <f t="shared" si="287"/>
        <v>1.7676831524503278</v>
      </c>
      <c r="F206" s="199">
        <f t="shared" ref="F206" si="300">(100*(B206/B194-1))</f>
        <v>3.3121792364957381</v>
      </c>
      <c r="G206" s="200">
        <f t="shared" ref="G206" si="301">100*(B206/B182-1)</f>
        <v>8.1340804565082294</v>
      </c>
      <c r="H206" s="174">
        <f t="shared" si="98"/>
        <v>1.0061941992802068</v>
      </c>
    </row>
    <row r="207" spans="1:8" ht="16.5" customHeight="1">
      <c r="A207" s="196" t="str">
        <f>Seguros!A207</f>
        <v>MAIO|20</v>
      </c>
      <c r="B207" s="286">
        <f>[253]PLANCUSr_CJ!$H$174</f>
        <v>0.32438757614929092</v>
      </c>
      <c r="C207" s="197">
        <f t="shared" ref="C207" si="302">100*B207/B$8</f>
        <v>202.11063934535261</v>
      </c>
      <c r="D207" s="198">
        <f t="shared" ref="D207" si="303">100*(B207/B206-1)</f>
        <v>-0.2299555419286059</v>
      </c>
      <c r="E207" s="198">
        <f t="shared" si="287"/>
        <v>1.533662725148921</v>
      </c>
      <c r="F207" s="199">
        <f t="shared" ref="F207" si="304">(100*(B207/B195-1))</f>
        <v>2.4598480664554723</v>
      </c>
      <c r="G207" s="200">
        <f t="shared" ref="G207" si="305">100*(B207/B183-1)</f>
        <v>7.6593355411485264</v>
      </c>
      <c r="H207" s="174">
        <f t="shared" si="98"/>
        <v>1.0085133315772576</v>
      </c>
    </row>
    <row r="208" spans="1:8" ht="16.5" customHeight="1">
      <c r="A208" s="196" t="str">
        <f>Seguros!A208</f>
        <v>JUNHO|20</v>
      </c>
      <c r="B208" s="286">
        <f>[254]PLANCUSr_CJ!$H$174</f>
        <v>0.32357641732535974</v>
      </c>
      <c r="C208" s="197">
        <f t="shared" ref="C208" si="306">100*B208/B$8</f>
        <v>201.60524443947648</v>
      </c>
      <c r="D208" s="198">
        <f t="shared" ref="D208" si="307">100*(B208/B207-1)</f>
        <v>-0.25005853601429706</v>
      </c>
      <c r="E208" s="198">
        <f t="shared" si="287"/>
        <v>1.2797691345767248</v>
      </c>
      <c r="F208" s="199">
        <f t="shared" ref="F208" si="308">(100*(B208/B196-1))</f>
        <v>2.0506241224695243</v>
      </c>
      <c r="G208" s="200">
        <f t="shared" ref="G208" si="309">100*(B208/B184-1)</f>
        <v>6.930323790512416</v>
      </c>
      <c r="H208" s="174">
        <f t="shared" si="98"/>
        <v>1.0110415272187172</v>
      </c>
    </row>
    <row r="209" spans="1:8" ht="16.5" customHeight="1">
      <c r="A209" s="196" t="str">
        <f>Seguros!A209</f>
        <v>JULHO|20</v>
      </c>
      <c r="B209" s="286">
        <f>[255]PLANCUSr_CJ!$H$174</f>
        <v>0.32454719701515611</v>
      </c>
      <c r="C209" s="197">
        <f t="shared" ref="C209" si="310">100*B209/B$8</f>
        <v>202.21009159822813</v>
      </c>
      <c r="D209" s="198">
        <f t="shared" ref="D209" si="311">100*(B209/B208-1)</f>
        <v>0.30001558760699432</v>
      </c>
      <c r="E209" s="198">
        <f t="shared" ref="E209" si="312">100*(B209/B$202-1)</f>
        <v>1.5836242290728331</v>
      </c>
      <c r="F209" s="199">
        <f t="shared" ref="F209" si="313">(100*(B209/B197-1))</f>
        <v>2.3466405176943095</v>
      </c>
      <c r="G209" s="200">
        <f t="shared" ref="G209" si="314">100*(B209/B185-1)</f>
        <v>5.7390628312753655</v>
      </c>
      <c r="H209" s="174">
        <f t="shared" si="98"/>
        <v>1.0080173181385237</v>
      </c>
    </row>
    <row r="210" spans="1:8" ht="16.5" customHeight="1">
      <c r="A210" s="196" t="str">
        <f>Seguros!A210</f>
        <v>AGOSTO|20</v>
      </c>
      <c r="B210" s="286">
        <f>[256]PLANCUSr_CJ!$H$174</f>
        <v>0.32597547740228439</v>
      </c>
      <c r="C210" s="197">
        <f t="shared" ref="C210" si="315">100*B210/B$8</f>
        <v>203.09998592042638</v>
      </c>
      <c r="D210" s="198">
        <f t="shared" ref="D210" si="316">100*(B210/B209-1)</f>
        <v>0.44008403100199711</v>
      </c>
      <c r="E210" s="198">
        <f t="shared" ref="E210" si="317">100*(B210/B$202-1)</f>
        <v>2.0306775374180575</v>
      </c>
      <c r="F210" s="199">
        <f t="shared" ref="F210" si="318">(100*(B210/B198-1))</f>
        <v>2.6944343636314594</v>
      </c>
      <c r="G210" s="200">
        <f t="shared" ref="G210" si="319">100*(B210/B186-1)</f>
        <v>5.9395546746403571</v>
      </c>
      <c r="H210" s="268">
        <f t="shared" si="98"/>
        <v>1.0036006320219599</v>
      </c>
    </row>
    <row r="211" spans="1:8" ht="16.5" customHeight="1" thickBot="1">
      <c r="A211" s="151" t="str">
        <f>Seguros!A211</f>
        <v>SETEMBRO|20</v>
      </c>
      <c r="B211" s="195">
        <f>[259]PLANCUSr_CJ!$H$174</f>
        <v>0.32714919514459273</v>
      </c>
      <c r="C211" s="153">
        <f t="shared" ref="C211" si="320">100*B211/B$8</f>
        <v>203.83127423339113</v>
      </c>
      <c r="D211" s="154">
        <f t="shared" ref="D211" si="321">100*(B211/B210-1)</f>
        <v>0.36006320219599264</v>
      </c>
      <c r="E211" s="154">
        <f t="shared" ref="E211" si="322">100*(B211/B$202-1)</f>
        <v>2.3980524621815658</v>
      </c>
      <c r="F211" s="155">
        <f t="shared" ref="F211" si="323">(100*(B211/B199-1))</f>
        <v>2.9406554359608705</v>
      </c>
      <c r="G211" s="156">
        <f t="shared" ref="G211" si="324">100*(B211/B187-1)</f>
        <v>6.3210040275940571</v>
      </c>
      <c r="H211" s="157">
        <f t="shared" si="98"/>
        <v>1</v>
      </c>
    </row>
    <row r="212" spans="1:8" s="289" customFormat="1">
      <c r="A212" s="288" t="s">
        <v>18</v>
      </c>
    </row>
    <row r="213" spans="1:8">
      <c r="B213" s="104"/>
      <c r="C213" s="104"/>
      <c r="D213" s="104"/>
      <c r="E213" s="104"/>
      <c r="F213" s="104"/>
      <c r="G213" s="104"/>
      <c r="H213" s="104"/>
    </row>
    <row r="214" spans="1:8">
      <c r="B214" s="104"/>
      <c r="C214" s="104"/>
      <c r="D214" s="104"/>
      <c r="E214" s="104"/>
      <c r="F214" s="104"/>
      <c r="G214" s="104"/>
      <c r="H214" s="104"/>
    </row>
    <row r="215" spans="1:8">
      <c r="B215" s="104"/>
      <c r="C215" s="104"/>
      <c r="D215" s="104"/>
      <c r="E215" s="104"/>
      <c r="F215" s="104"/>
      <c r="G215" s="104"/>
      <c r="H215" s="104"/>
    </row>
    <row r="216" spans="1:8">
      <c r="B216" s="104"/>
      <c r="C216" s="104"/>
      <c r="D216" s="104"/>
      <c r="E216" s="104"/>
      <c r="F216" s="104"/>
      <c r="G216" s="104"/>
      <c r="H216" s="104"/>
    </row>
    <row r="217" spans="1:8">
      <c r="B217" s="104"/>
      <c r="C217" s="104"/>
      <c r="D217" s="104"/>
      <c r="E217" s="104"/>
      <c r="F217" s="104"/>
      <c r="G217" s="104"/>
      <c r="H217" s="104"/>
    </row>
    <row r="218" spans="1:8">
      <c r="B218" s="104"/>
      <c r="C218" s="104"/>
      <c r="D218" s="104"/>
      <c r="E218" s="104"/>
      <c r="F218" s="104"/>
      <c r="G218" s="104"/>
      <c r="H218" s="104"/>
    </row>
    <row r="219" spans="1:8">
      <c r="B219" s="104"/>
      <c r="C219" s="104"/>
      <c r="D219" s="104"/>
      <c r="E219" s="104"/>
      <c r="F219" s="104"/>
      <c r="G219" s="104"/>
      <c r="H219" s="104"/>
    </row>
    <row r="220" spans="1:8">
      <c r="B220" s="104"/>
      <c r="C220" s="104"/>
      <c r="D220" s="104"/>
      <c r="E220" s="104"/>
      <c r="F220" s="104"/>
      <c r="G220" s="104"/>
      <c r="H220" s="104"/>
    </row>
    <row r="221" spans="1:8">
      <c r="B221" s="104"/>
      <c r="C221" s="104"/>
      <c r="D221" s="104"/>
      <c r="E221" s="104"/>
      <c r="F221" s="104"/>
      <c r="G221" s="104"/>
      <c r="H221" s="104"/>
    </row>
    <row r="222" spans="1:8">
      <c r="A222" s="105"/>
      <c r="B222" s="104"/>
      <c r="C222" s="104"/>
      <c r="D222" s="104"/>
      <c r="E222" s="104"/>
      <c r="F222" s="104"/>
      <c r="G222" s="104"/>
      <c r="H222" s="104"/>
    </row>
    <row r="223" spans="1:8">
      <c r="B223" s="104"/>
      <c r="C223" s="104"/>
      <c r="D223" s="104"/>
      <c r="E223" s="104"/>
      <c r="F223" s="104"/>
      <c r="G223" s="104"/>
      <c r="H223" s="104"/>
    </row>
    <row r="224" spans="1:8">
      <c r="B224" s="104"/>
      <c r="C224" s="104"/>
      <c r="D224" s="104"/>
      <c r="E224" s="104"/>
      <c r="F224" s="104"/>
      <c r="G224" s="104"/>
      <c r="H224" s="104"/>
    </row>
    <row r="225" spans="1:8">
      <c r="A225" s="106"/>
      <c r="B225" s="104"/>
      <c r="C225" s="104"/>
      <c r="D225" s="104"/>
      <c r="E225" s="104"/>
      <c r="F225" s="104"/>
      <c r="G225" s="104"/>
      <c r="H225" s="104"/>
    </row>
    <row r="226" spans="1:8">
      <c r="A226" s="106"/>
      <c r="B226" s="107"/>
      <c r="C226" s="107"/>
      <c r="D226" s="108"/>
      <c r="E226" s="107"/>
      <c r="F226" s="104"/>
      <c r="G226" s="104"/>
      <c r="H226" s="104"/>
    </row>
    <row r="227" spans="1:8">
      <c r="B227" s="104"/>
      <c r="C227" s="104"/>
      <c r="D227" s="104"/>
      <c r="E227" s="104"/>
      <c r="F227" s="104"/>
      <c r="G227" s="104"/>
      <c r="H227" s="104"/>
    </row>
    <row r="228" spans="1:8">
      <c r="B228" s="104"/>
      <c r="C228" s="104"/>
      <c r="D228" s="104"/>
      <c r="E228" s="104"/>
      <c r="F228" s="104"/>
      <c r="G228" s="104"/>
      <c r="H228" s="104"/>
    </row>
    <row r="229" spans="1:8">
      <c r="B229" s="104"/>
      <c r="C229" s="104"/>
      <c r="D229" s="104"/>
      <c r="E229" s="104"/>
      <c r="F229" s="104"/>
      <c r="G229" s="104"/>
      <c r="H229" s="104"/>
    </row>
    <row r="230" spans="1:8">
      <c r="B230" s="104"/>
      <c r="C230" s="104"/>
      <c r="D230" s="104"/>
      <c r="E230" s="104"/>
      <c r="F230" s="104"/>
      <c r="G230" s="104"/>
      <c r="H230" s="104"/>
    </row>
    <row r="231" spans="1:8">
      <c r="B231" s="104"/>
      <c r="C231" s="104"/>
      <c r="D231" s="104"/>
      <c r="E231" s="104"/>
      <c r="F231" s="104"/>
      <c r="G231" s="104"/>
      <c r="H231" s="104"/>
    </row>
    <row r="232" spans="1:8">
      <c r="B232" s="104"/>
      <c r="C232" s="104"/>
      <c r="D232" s="104"/>
      <c r="E232" s="104"/>
      <c r="F232" s="104"/>
      <c r="G232" s="104"/>
      <c r="H232" s="104"/>
    </row>
    <row r="233" spans="1:8">
      <c r="B233" s="104"/>
      <c r="C233" s="104"/>
      <c r="D233" s="104"/>
      <c r="E233" s="104"/>
      <c r="F233" s="104"/>
      <c r="G233" s="104"/>
      <c r="H233" s="104"/>
    </row>
    <row r="234" spans="1:8">
      <c r="B234" s="104"/>
      <c r="C234" s="104"/>
      <c r="D234" s="104"/>
      <c r="E234" s="104"/>
      <c r="F234" s="104"/>
      <c r="G234" s="104"/>
      <c r="H234" s="104"/>
    </row>
    <row r="235" spans="1:8">
      <c r="B235" s="104"/>
      <c r="C235" s="104"/>
      <c r="D235" s="104"/>
      <c r="E235" s="104"/>
      <c r="F235" s="104"/>
      <c r="G235" s="104"/>
      <c r="H235" s="104"/>
    </row>
    <row r="236" spans="1:8">
      <c r="B236" s="104"/>
      <c r="C236" s="104"/>
      <c r="D236" s="104"/>
      <c r="E236" s="104"/>
      <c r="F236" s="104"/>
      <c r="G236" s="104"/>
      <c r="H236" s="104"/>
    </row>
    <row r="237" spans="1:8">
      <c r="B237" s="104"/>
      <c r="C237" s="104"/>
      <c r="D237" s="104"/>
      <c r="E237" s="104"/>
      <c r="F237" s="104"/>
      <c r="G237" s="104"/>
      <c r="H237" s="104"/>
    </row>
    <row r="238" spans="1:8">
      <c r="B238" s="104"/>
      <c r="C238" s="104"/>
      <c r="D238" s="104"/>
      <c r="E238" s="104"/>
      <c r="F238" s="104"/>
      <c r="G238" s="104"/>
      <c r="H238" s="104"/>
    </row>
    <row r="239" spans="1:8">
      <c r="A239" s="105"/>
      <c r="B239" s="104"/>
      <c r="C239" s="104"/>
      <c r="D239" s="104"/>
      <c r="E239" s="104"/>
      <c r="F239" s="104"/>
      <c r="G239" s="104"/>
      <c r="H239" s="104"/>
    </row>
    <row r="240" spans="1:8">
      <c r="B240" s="104"/>
      <c r="C240" s="104"/>
      <c r="D240" s="104"/>
      <c r="E240" s="104"/>
      <c r="F240" s="104"/>
      <c r="G240" s="104"/>
      <c r="H240" s="104"/>
    </row>
    <row r="241" spans="2:8">
      <c r="B241" s="104"/>
      <c r="C241" s="104"/>
      <c r="D241" s="104"/>
      <c r="E241" s="104"/>
      <c r="F241" s="104"/>
      <c r="G241" s="104"/>
      <c r="H241" s="104"/>
    </row>
    <row r="242" spans="2:8">
      <c r="B242" s="104"/>
      <c r="C242" s="104"/>
      <c r="D242" s="104"/>
      <c r="E242" s="104"/>
      <c r="F242" s="104"/>
      <c r="G242" s="104"/>
      <c r="H242" s="104"/>
    </row>
    <row r="243" spans="2:8">
      <c r="B243" s="104"/>
      <c r="C243" s="104"/>
      <c r="D243" s="104"/>
      <c r="E243" s="104"/>
      <c r="F243" s="104"/>
      <c r="G243" s="104"/>
      <c r="H243" s="104"/>
    </row>
    <row r="244" spans="2:8">
      <c r="B244" s="104"/>
      <c r="C244" s="104"/>
      <c r="D244" s="104"/>
      <c r="E244" s="104"/>
      <c r="F244" s="104"/>
      <c r="G244" s="104"/>
      <c r="H244" s="104"/>
    </row>
    <row r="245" spans="2:8">
      <c r="B245" s="104"/>
      <c r="C245" s="104"/>
      <c r="D245" s="104"/>
      <c r="E245" s="104"/>
      <c r="F245" s="104"/>
      <c r="G245" s="104"/>
      <c r="H245" s="104"/>
    </row>
    <row r="246" spans="2:8">
      <c r="B246" s="104"/>
      <c r="C246" s="104"/>
      <c r="D246" s="104"/>
      <c r="E246" s="104"/>
      <c r="F246" s="104"/>
      <c r="G246" s="104"/>
      <c r="H246" s="104"/>
    </row>
    <row r="247" spans="2:8">
      <c r="B247" s="104"/>
      <c r="C247" s="104"/>
      <c r="D247" s="104"/>
      <c r="E247" s="104"/>
      <c r="F247" s="104"/>
      <c r="G247" s="104"/>
      <c r="H247" s="104"/>
    </row>
    <row r="248" spans="2:8">
      <c r="B248" s="104"/>
      <c r="C248" s="104"/>
      <c r="D248" s="104"/>
      <c r="E248" s="104"/>
      <c r="F248" s="104"/>
      <c r="G248" s="104"/>
      <c r="H248" s="104"/>
    </row>
    <row r="249" spans="2:8">
      <c r="B249" s="104"/>
      <c r="C249" s="104"/>
      <c r="D249" s="104"/>
      <c r="E249" s="104"/>
      <c r="F249" s="104"/>
      <c r="G249" s="104"/>
      <c r="H249" s="104"/>
    </row>
    <row r="250" spans="2:8">
      <c r="B250" s="104"/>
      <c r="C250" s="104"/>
      <c r="D250" s="104"/>
      <c r="E250" s="104"/>
      <c r="F250" s="104"/>
      <c r="G250" s="104"/>
      <c r="H250" s="104"/>
    </row>
    <row r="251" spans="2:8">
      <c r="B251" s="104"/>
      <c r="C251" s="104"/>
      <c r="D251" s="104"/>
      <c r="E251" s="104"/>
      <c r="F251" s="104"/>
      <c r="G251" s="104"/>
      <c r="H251" s="104"/>
    </row>
    <row r="252" spans="2:8">
      <c r="B252" s="104"/>
      <c r="C252" s="104"/>
      <c r="D252" s="104"/>
      <c r="E252" s="104"/>
      <c r="F252" s="104"/>
      <c r="G252" s="104"/>
      <c r="H252" s="104"/>
    </row>
    <row r="253" spans="2:8">
      <c r="B253" s="104"/>
      <c r="C253" s="104"/>
      <c r="D253" s="104"/>
      <c r="E253" s="104"/>
      <c r="F253" s="104"/>
      <c r="G253" s="104"/>
      <c r="H253" s="104"/>
    </row>
    <row r="254" spans="2:8">
      <c r="B254" s="104"/>
      <c r="C254" s="104"/>
      <c r="D254" s="104"/>
      <c r="E254" s="104"/>
      <c r="F254" s="104"/>
      <c r="G254" s="104"/>
      <c r="H254" s="104"/>
    </row>
    <row r="255" spans="2:8">
      <c r="B255" s="104"/>
      <c r="C255" s="104"/>
      <c r="D255" s="104"/>
      <c r="E255" s="104"/>
      <c r="F255" s="104"/>
      <c r="G255" s="104"/>
      <c r="H255" s="104"/>
    </row>
    <row r="256" spans="2:8">
      <c r="B256" s="104"/>
      <c r="C256" s="104"/>
      <c r="D256" s="104"/>
      <c r="E256" s="104"/>
      <c r="F256" s="104"/>
      <c r="G256" s="104"/>
      <c r="H256" s="104"/>
    </row>
    <row r="257" spans="2:8">
      <c r="B257" s="104"/>
      <c r="C257" s="104"/>
      <c r="D257" s="104"/>
      <c r="E257" s="104"/>
      <c r="F257" s="104"/>
      <c r="G257" s="104"/>
      <c r="H257" s="104"/>
    </row>
    <row r="258" spans="2:8">
      <c r="B258" s="104"/>
      <c r="C258" s="104"/>
      <c r="D258" s="104"/>
      <c r="E258" s="104"/>
      <c r="F258" s="104"/>
      <c r="G258" s="104"/>
      <c r="H258" s="104"/>
    </row>
    <row r="259" spans="2:8">
      <c r="B259" s="104"/>
      <c r="C259" s="104"/>
      <c r="D259" s="104"/>
      <c r="E259" s="104"/>
      <c r="F259" s="104"/>
      <c r="G259" s="104"/>
      <c r="H259" s="104"/>
    </row>
    <row r="260" spans="2:8">
      <c r="B260" s="104"/>
      <c r="C260" s="104"/>
      <c r="D260" s="104"/>
      <c r="E260" s="104"/>
      <c r="F260" s="104"/>
      <c r="G260" s="104"/>
      <c r="H260" s="104"/>
    </row>
    <row r="261" spans="2:8">
      <c r="B261" s="104"/>
      <c r="C261" s="104"/>
      <c r="D261" s="104"/>
      <c r="E261" s="104"/>
      <c r="F261" s="104"/>
      <c r="G261" s="104"/>
      <c r="H261" s="104"/>
    </row>
    <row r="262" spans="2:8">
      <c r="B262" s="104"/>
      <c r="C262" s="104"/>
      <c r="D262" s="104"/>
      <c r="E262" s="104"/>
      <c r="F262" s="104"/>
      <c r="G262" s="104"/>
      <c r="H262" s="104"/>
    </row>
    <row r="263" spans="2:8">
      <c r="B263" s="104"/>
      <c r="C263" s="104"/>
      <c r="D263" s="104"/>
      <c r="E263" s="104"/>
      <c r="F263" s="104"/>
      <c r="G263" s="104"/>
      <c r="H263" s="104"/>
    </row>
    <row r="264" spans="2:8">
      <c r="B264" s="104"/>
      <c r="C264" s="104"/>
      <c r="D264" s="104"/>
      <c r="E264" s="104"/>
      <c r="F264" s="104"/>
      <c r="G264" s="104"/>
      <c r="H264" s="104"/>
    </row>
    <row r="265" spans="2:8">
      <c r="B265" s="104"/>
      <c r="C265" s="104"/>
      <c r="D265" s="104"/>
      <c r="E265" s="104"/>
      <c r="F265" s="104"/>
      <c r="G265" s="104"/>
      <c r="H265" s="104"/>
    </row>
    <row r="266" spans="2:8">
      <c r="B266" s="104"/>
      <c r="C266" s="104"/>
      <c r="D266" s="104"/>
      <c r="E266" s="104"/>
      <c r="F266" s="104"/>
      <c r="G266" s="104"/>
      <c r="H266" s="104"/>
    </row>
    <row r="267" spans="2:8">
      <c r="B267" s="104"/>
      <c r="C267" s="104"/>
      <c r="D267" s="104"/>
      <c r="E267" s="104"/>
      <c r="F267" s="104"/>
      <c r="G267" s="104"/>
      <c r="H267" s="104"/>
    </row>
    <row r="268" spans="2:8">
      <c r="B268" s="104"/>
      <c r="C268" s="104"/>
      <c r="D268" s="104"/>
      <c r="E268" s="104"/>
      <c r="F268" s="104"/>
      <c r="G268" s="104"/>
      <c r="H268" s="104"/>
    </row>
    <row r="269" spans="2:8">
      <c r="B269" s="104"/>
      <c r="C269" s="104"/>
      <c r="D269" s="104"/>
      <c r="E269" s="104"/>
      <c r="F269" s="104"/>
      <c r="G269" s="104"/>
      <c r="H269" s="104"/>
    </row>
    <row r="270" spans="2:8">
      <c r="B270" s="104"/>
      <c r="C270" s="104"/>
      <c r="D270" s="104"/>
      <c r="E270" s="104"/>
      <c r="F270" s="104"/>
      <c r="G270" s="104"/>
      <c r="H270" s="104"/>
    </row>
    <row r="271" spans="2:8">
      <c r="B271" s="104"/>
      <c r="C271" s="104"/>
      <c r="D271" s="104"/>
      <c r="E271" s="104"/>
      <c r="F271" s="104"/>
      <c r="G271" s="104"/>
      <c r="H271" s="104"/>
    </row>
    <row r="272" spans="2:8">
      <c r="B272" s="104"/>
      <c r="C272" s="104"/>
      <c r="D272" s="104"/>
      <c r="E272" s="104"/>
      <c r="F272" s="104"/>
      <c r="G272" s="104"/>
      <c r="H272" s="104"/>
    </row>
    <row r="273" spans="2:8">
      <c r="B273" s="104"/>
      <c r="C273" s="104"/>
      <c r="D273" s="104"/>
      <c r="E273" s="104"/>
      <c r="F273" s="104"/>
      <c r="G273" s="104"/>
      <c r="H273" s="104"/>
    </row>
    <row r="274" spans="2:8">
      <c r="B274" s="104"/>
      <c r="C274" s="104"/>
      <c r="D274" s="104"/>
      <c r="E274" s="104"/>
      <c r="F274" s="104"/>
      <c r="G274" s="104"/>
      <c r="H274" s="104"/>
    </row>
    <row r="275" spans="2:8">
      <c r="B275" s="104"/>
      <c r="C275" s="104"/>
      <c r="D275" s="104"/>
      <c r="E275" s="104"/>
      <c r="F275" s="104"/>
      <c r="G275" s="104"/>
      <c r="H275" s="104"/>
    </row>
    <row r="276" spans="2:8">
      <c r="B276" s="104"/>
      <c r="C276" s="104"/>
      <c r="D276" s="104"/>
      <c r="E276" s="104"/>
      <c r="F276" s="104"/>
      <c r="G276" s="104"/>
      <c r="H276" s="104"/>
    </row>
    <row r="277" spans="2:8">
      <c r="B277" s="104"/>
      <c r="C277" s="104"/>
      <c r="D277" s="104"/>
      <c r="E277" s="104"/>
      <c r="F277" s="104"/>
      <c r="G277" s="104"/>
      <c r="H277" s="104"/>
    </row>
    <row r="278" spans="2:8">
      <c r="B278" s="104"/>
      <c r="C278" s="104"/>
      <c r="D278" s="104"/>
      <c r="E278" s="104"/>
      <c r="F278" s="104"/>
      <c r="G278" s="104"/>
      <c r="H278" s="104"/>
    </row>
    <row r="279" spans="2:8">
      <c r="B279" s="104"/>
      <c r="C279" s="104"/>
      <c r="D279" s="104"/>
      <c r="E279" s="104"/>
      <c r="F279" s="104"/>
      <c r="G279" s="104"/>
      <c r="H279" s="104"/>
    </row>
    <row r="280" spans="2:8">
      <c r="B280" s="104"/>
      <c r="C280" s="104"/>
      <c r="D280" s="104"/>
      <c r="E280" s="104"/>
      <c r="F280" s="104"/>
      <c r="G280" s="104"/>
      <c r="H280" s="104"/>
    </row>
    <row r="281" spans="2:8">
      <c r="B281" s="104"/>
      <c r="C281" s="104"/>
      <c r="D281" s="104"/>
      <c r="E281" s="104"/>
      <c r="F281" s="104"/>
      <c r="G281" s="104"/>
      <c r="H281" s="104"/>
    </row>
    <row r="282" spans="2:8">
      <c r="B282" s="104"/>
      <c r="C282" s="104"/>
      <c r="D282" s="104"/>
      <c r="E282" s="104"/>
      <c r="F282" s="104"/>
      <c r="G282" s="104"/>
      <c r="H282" s="104"/>
    </row>
    <row r="283" spans="2:8">
      <c r="B283" s="104"/>
      <c r="C283" s="104"/>
      <c r="D283" s="104"/>
      <c r="E283" s="104"/>
      <c r="F283" s="104"/>
      <c r="G283" s="104"/>
      <c r="H283" s="104"/>
    </row>
    <row r="284" spans="2:8">
      <c r="B284" s="104"/>
      <c r="C284" s="104"/>
      <c r="D284" s="104"/>
      <c r="E284" s="104"/>
      <c r="F284" s="104"/>
      <c r="G284" s="104"/>
      <c r="H284" s="104"/>
    </row>
    <row r="285" spans="2:8">
      <c r="B285" s="104"/>
      <c r="C285" s="104"/>
      <c r="D285" s="104"/>
      <c r="E285" s="104"/>
      <c r="F285" s="104"/>
      <c r="G285" s="104"/>
      <c r="H285" s="104"/>
    </row>
    <row r="286" spans="2:8">
      <c r="B286" s="104"/>
      <c r="C286" s="104"/>
      <c r="D286" s="104"/>
      <c r="E286" s="104"/>
      <c r="F286" s="104"/>
      <c r="G286" s="104"/>
      <c r="H286" s="104"/>
    </row>
    <row r="287" spans="2:8">
      <c r="B287" s="104"/>
      <c r="C287" s="104"/>
      <c r="D287" s="104"/>
      <c r="E287" s="104"/>
      <c r="F287" s="104"/>
      <c r="G287" s="104"/>
      <c r="H287" s="104"/>
    </row>
    <row r="288" spans="2:8">
      <c r="B288" s="104"/>
      <c r="C288" s="104"/>
      <c r="D288" s="104"/>
      <c r="E288" s="104"/>
      <c r="F288" s="104"/>
      <c r="G288" s="104"/>
      <c r="H288" s="104"/>
    </row>
    <row r="289" spans="2:8">
      <c r="B289" s="104"/>
      <c r="C289" s="104"/>
      <c r="D289" s="104"/>
      <c r="E289" s="104"/>
      <c r="F289" s="104"/>
      <c r="G289" s="104"/>
      <c r="H289" s="104"/>
    </row>
    <row r="290" spans="2:8">
      <c r="B290" s="104"/>
      <c r="C290" s="104"/>
      <c r="D290" s="104"/>
      <c r="E290" s="104"/>
      <c r="F290" s="104"/>
      <c r="G290" s="104"/>
      <c r="H290" s="104"/>
    </row>
    <row r="291" spans="2:8">
      <c r="B291" s="104"/>
      <c r="C291" s="104"/>
      <c r="D291" s="104"/>
      <c r="E291" s="104"/>
      <c r="F291" s="104"/>
      <c r="G291" s="104"/>
      <c r="H291" s="104"/>
    </row>
    <row r="292" spans="2:8">
      <c r="B292" s="104"/>
      <c r="C292" s="104"/>
      <c r="D292" s="104"/>
      <c r="E292" s="104"/>
      <c r="F292" s="104"/>
      <c r="G292" s="104"/>
      <c r="H292" s="104"/>
    </row>
    <row r="293" spans="2:8">
      <c r="B293" s="104"/>
      <c r="C293" s="104"/>
      <c r="D293" s="104"/>
      <c r="E293" s="104"/>
      <c r="F293" s="104"/>
      <c r="G293" s="104"/>
      <c r="H293" s="104"/>
    </row>
    <row r="294" spans="2:8">
      <c r="B294" s="104"/>
      <c r="C294" s="104"/>
      <c r="D294" s="104"/>
      <c r="E294" s="104"/>
      <c r="F294" s="104"/>
      <c r="G294" s="104"/>
      <c r="H294" s="104"/>
    </row>
    <row r="295" spans="2:8">
      <c r="B295" s="104"/>
      <c r="C295" s="104"/>
      <c r="D295" s="104"/>
      <c r="E295" s="104"/>
      <c r="F295" s="104"/>
      <c r="G295" s="104"/>
      <c r="H295" s="104"/>
    </row>
    <row r="296" spans="2:8">
      <c r="B296" s="104"/>
      <c r="C296" s="104"/>
      <c r="D296" s="104"/>
      <c r="E296" s="104"/>
      <c r="F296" s="104"/>
      <c r="G296" s="104"/>
      <c r="H296" s="104"/>
    </row>
    <row r="297" spans="2:8">
      <c r="B297" s="104"/>
      <c r="C297" s="104"/>
      <c r="D297" s="104"/>
      <c r="E297" s="104"/>
      <c r="F297" s="104"/>
      <c r="G297" s="104"/>
      <c r="H297" s="104"/>
    </row>
    <row r="298" spans="2:8">
      <c r="B298" s="104"/>
      <c r="C298" s="104"/>
      <c r="D298" s="104"/>
      <c r="E298" s="104"/>
      <c r="F298" s="104"/>
      <c r="G298" s="104"/>
      <c r="H298" s="104"/>
    </row>
    <row r="299" spans="2:8">
      <c r="B299" s="104"/>
      <c r="C299" s="104"/>
      <c r="D299" s="104"/>
      <c r="E299" s="104"/>
      <c r="F299" s="104"/>
      <c r="G299" s="104"/>
      <c r="H299" s="104"/>
    </row>
    <row r="300" spans="2:8">
      <c r="B300" s="104"/>
      <c r="C300" s="104"/>
      <c r="D300" s="104"/>
      <c r="E300" s="104"/>
      <c r="F300" s="104"/>
      <c r="G300" s="104"/>
      <c r="H300" s="104"/>
    </row>
    <row r="301" spans="2:8">
      <c r="B301" s="104"/>
      <c r="C301" s="104"/>
      <c r="D301" s="104"/>
      <c r="E301" s="104"/>
      <c r="F301" s="104"/>
      <c r="G301" s="104"/>
      <c r="H301" s="104"/>
    </row>
    <row r="302" spans="2:8">
      <c r="B302" s="104"/>
      <c r="C302" s="104"/>
      <c r="D302" s="104"/>
      <c r="E302" s="104"/>
      <c r="F302" s="104"/>
      <c r="G302" s="104"/>
      <c r="H302" s="104"/>
    </row>
    <row r="303" spans="2:8">
      <c r="B303" s="104"/>
      <c r="C303" s="104"/>
      <c r="D303" s="104"/>
      <c r="E303" s="104"/>
      <c r="F303" s="104"/>
      <c r="G303" s="104"/>
      <c r="H303" s="104"/>
    </row>
    <row r="304" spans="2:8">
      <c r="B304" s="104"/>
      <c r="C304" s="104"/>
      <c r="D304" s="104"/>
      <c r="E304" s="104"/>
      <c r="F304" s="104"/>
      <c r="G304" s="104"/>
      <c r="H304" s="104"/>
    </row>
    <row r="305" spans="2:8">
      <c r="B305" s="104"/>
      <c r="C305" s="104"/>
      <c r="D305" s="104"/>
      <c r="E305" s="104"/>
      <c r="F305" s="104"/>
      <c r="G305" s="104"/>
      <c r="H305" s="104"/>
    </row>
    <row r="306" spans="2:8">
      <c r="B306" s="104"/>
      <c r="C306" s="104"/>
      <c r="D306" s="104"/>
      <c r="E306" s="104"/>
      <c r="F306" s="104"/>
      <c r="G306" s="104"/>
      <c r="H306" s="104"/>
    </row>
    <row r="307" spans="2:8">
      <c r="B307" s="104"/>
      <c r="C307" s="104"/>
      <c r="D307" s="104"/>
      <c r="E307" s="104"/>
      <c r="F307" s="104"/>
      <c r="G307" s="104"/>
      <c r="H307" s="104"/>
    </row>
    <row r="308" spans="2:8">
      <c r="B308" s="104"/>
      <c r="C308" s="104"/>
      <c r="D308" s="104"/>
      <c r="E308" s="104"/>
      <c r="F308" s="104"/>
      <c r="G308" s="104"/>
      <c r="H308" s="104"/>
    </row>
    <row r="309" spans="2:8">
      <c r="B309" s="104"/>
      <c r="C309" s="104"/>
      <c r="D309" s="104"/>
      <c r="E309" s="104"/>
      <c r="F309" s="104"/>
      <c r="G309" s="104"/>
      <c r="H309" s="104"/>
    </row>
    <row r="310" spans="2:8">
      <c r="B310" s="104"/>
      <c r="C310" s="104"/>
      <c r="D310" s="104"/>
      <c r="E310" s="104"/>
      <c r="F310" s="104"/>
      <c r="G310" s="104"/>
      <c r="H310" s="104"/>
    </row>
    <row r="311" spans="2:8">
      <c r="B311" s="104"/>
      <c r="C311" s="104"/>
      <c r="D311" s="104"/>
      <c r="E311" s="104"/>
      <c r="F311" s="104"/>
      <c r="G311" s="104"/>
      <c r="H311" s="104"/>
    </row>
    <row r="312" spans="2:8">
      <c r="B312" s="104"/>
      <c r="C312" s="104"/>
      <c r="D312" s="104"/>
      <c r="E312" s="104"/>
      <c r="F312" s="104"/>
      <c r="G312" s="104"/>
      <c r="H312" s="104"/>
    </row>
    <row r="313" spans="2:8">
      <c r="B313" s="104"/>
      <c r="C313" s="104"/>
      <c r="D313" s="104"/>
      <c r="E313" s="104"/>
      <c r="F313" s="104"/>
      <c r="G313" s="104"/>
      <c r="H313" s="104"/>
    </row>
    <row r="314" spans="2:8">
      <c r="B314" s="104"/>
      <c r="C314" s="104"/>
      <c r="D314" s="104"/>
      <c r="E314" s="104"/>
      <c r="F314" s="104"/>
      <c r="G314" s="104"/>
      <c r="H314" s="104"/>
    </row>
    <row r="315" spans="2:8">
      <c r="B315" s="104"/>
      <c r="C315" s="104"/>
      <c r="D315" s="104"/>
      <c r="E315" s="104"/>
      <c r="F315" s="104"/>
      <c r="G315" s="104"/>
      <c r="H315" s="104"/>
    </row>
    <row r="316" spans="2:8">
      <c r="B316" s="104"/>
      <c r="C316" s="104"/>
      <c r="D316" s="104"/>
      <c r="E316" s="104"/>
      <c r="F316" s="104"/>
      <c r="G316" s="104"/>
      <c r="H316" s="104"/>
    </row>
    <row r="317" spans="2:8">
      <c r="B317" s="104"/>
      <c r="C317" s="104"/>
      <c r="D317" s="104"/>
      <c r="E317" s="104"/>
      <c r="F317" s="104"/>
      <c r="G317" s="104"/>
      <c r="H317" s="104"/>
    </row>
    <row r="318" spans="2:8">
      <c r="B318" s="104"/>
      <c r="C318" s="104"/>
      <c r="D318" s="104"/>
      <c r="E318" s="104"/>
      <c r="F318" s="104"/>
      <c r="G318" s="104"/>
      <c r="H318" s="104"/>
    </row>
    <row r="319" spans="2:8">
      <c r="B319" s="104"/>
      <c r="C319" s="104"/>
      <c r="D319" s="104"/>
      <c r="E319" s="104"/>
      <c r="F319" s="104"/>
      <c r="G319" s="104"/>
      <c r="H319" s="104"/>
    </row>
    <row r="320" spans="2:8">
      <c r="B320" s="104"/>
      <c r="C320" s="104"/>
      <c r="D320" s="104"/>
      <c r="E320" s="104"/>
      <c r="F320" s="104"/>
      <c r="G320" s="104"/>
      <c r="H320" s="104"/>
    </row>
    <row r="321" spans="2:8">
      <c r="B321" s="104"/>
      <c r="C321" s="104"/>
      <c r="D321" s="104"/>
      <c r="E321" s="104"/>
      <c r="F321" s="104"/>
      <c r="G321" s="104"/>
      <c r="H321" s="104"/>
    </row>
    <row r="322" spans="2:8">
      <c r="B322" s="104"/>
      <c r="C322" s="104"/>
      <c r="D322" s="104"/>
      <c r="E322" s="104"/>
      <c r="F322" s="104"/>
      <c r="G322" s="104"/>
      <c r="H322" s="104"/>
    </row>
    <row r="323" spans="2:8">
      <c r="B323" s="104"/>
      <c r="C323" s="104"/>
      <c r="D323" s="104"/>
      <c r="E323" s="104"/>
      <c r="F323" s="104"/>
      <c r="G323" s="104"/>
      <c r="H323" s="104"/>
    </row>
    <row r="324" spans="2:8">
      <c r="B324" s="104"/>
      <c r="C324" s="104"/>
      <c r="D324" s="104"/>
      <c r="E324" s="104"/>
      <c r="F324" s="104"/>
      <c r="G324" s="104"/>
      <c r="H324" s="104"/>
    </row>
    <row r="325" spans="2:8">
      <c r="B325" s="104"/>
      <c r="C325" s="104"/>
      <c r="D325" s="104"/>
      <c r="E325" s="104"/>
      <c r="F325" s="104"/>
      <c r="G325" s="104"/>
      <c r="H325" s="104"/>
    </row>
    <row r="326" spans="2:8">
      <c r="B326" s="104"/>
      <c r="C326" s="104"/>
      <c r="D326" s="104"/>
      <c r="E326" s="104"/>
      <c r="F326" s="104"/>
      <c r="G326" s="104"/>
      <c r="H326" s="104"/>
    </row>
    <row r="327" spans="2:8">
      <c r="B327" s="104"/>
      <c r="C327" s="104"/>
      <c r="D327" s="104"/>
      <c r="E327" s="104"/>
      <c r="F327" s="104"/>
      <c r="G327" s="104"/>
      <c r="H327" s="104"/>
    </row>
    <row r="328" spans="2:8">
      <c r="B328" s="104"/>
      <c r="C328" s="104"/>
      <c r="D328" s="104"/>
      <c r="E328" s="104"/>
      <c r="F328" s="104"/>
      <c r="G328" s="104"/>
      <c r="H328" s="104"/>
    </row>
    <row r="329" spans="2:8">
      <c r="B329" s="104"/>
      <c r="C329" s="104"/>
      <c r="D329" s="104"/>
      <c r="E329" s="104"/>
      <c r="F329" s="104"/>
      <c r="G329" s="104"/>
      <c r="H329" s="104"/>
    </row>
    <row r="330" spans="2:8">
      <c r="B330" s="104"/>
      <c r="C330" s="104"/>
      <c r="D330" s="104"/>
      <c r="E330" s="104"/>
      <c r="F330" s="104"/>
      <c r="G330" s="104"/>
      <c r="H330" s="104"/>
    </row>
    <row r="331" spans="2:8">
      <c r="B331" s="104"/>
      <c r="C331" s="104"/>
      <c r="D331" s="104"/>
      <c r="E331" s="104"/>
      <c r="F331" s="104"/>
      <c r="G331" s="104"/>
      <c r="H331" s="104"/>
    </row>
    <row r="332" spans="2:8">
      <c r="B332" s="104"/>
      <c r="C332" s="104"/>
      <c r="D332" s="104"/>
      <c r="E332" s="104"/>
      <c r="F332" s="104"/>
      <c r="G332" s="104"/>
      <c r="H332" s="104"/>
    </row>
    <row r="333" spans="2:8">
      <c r="B333" s="104"/>
      <c r="C333" s="104"/>
      <c r="D333" s="104"/>
      <c r="E333" s="104"/>
      <c r="F333" s="104"/>
      <c r="G333" s="104"/>
      <c r="H333" s="104"/>
    </row>
    <row r="334" spans="2:8">
      <c r="B334" s="104"/>
      <c r="C334" s="104"/>
      <c r="D334" s="104"/>
      <c r="E334" s="104"/>
      <c r="F334" s="104"/>
      <c r="G334" s="104"/>
      <c r="H334" s="104"/>
    </row>
    <row r="335" spans="2:8">
      <c r="B335" s="104"/>
      <c r="C335" s="104"/>
      <c r="D335" s="104"/>
      <c r="E335" s="104"/>
      <c r="F335" s="104"/>
      <c r="G335" s="104"/>
      <c r="H335" s="104"/>
    </row>
    <row r="336" spans="2:8">
      <c r="B336" s="104"/>
      <c r="C336" s="104"/>
      <c r="D336" s="104"/>
      <c r="E336" s="104"/>
      <c r="F336" s="104"/>
      <c r="G336" s="104"/>
      <c r="H336" s="104"/>
    </row>
    <row r="337" spans="2:8">
      <c r="B337" s="104"/>
      <c r="C337" s="104"/>
      <c r="D337" s="104"/>
      <c r="E337" s="104"/>
      <c r="F337" s="104"/>
      <c r="G337" s="104"/>
      <c r="H337" s="104"/>
    </row>
    <row r="338" spans="2:8">
      <c r="B338" s="104"/>
      <c r="C338" s="104"/>
      <c r="D338" s="104"/>
      <c r="E338" s="104"/>
      <c r="F338" s="104"/>
      <c r="G338" s="104"/>
      <c r="H338" s="104"/>
    </row>
    <row r="339" spans="2:8">
      <c r="B339" s="104"/>
      <c r="C339" s="104"/>
      <c r="D339" s="104"/>
      <c r="E339" s="104"/>
      <c r="F339" s="104"/>
      <c r="G339" s="104"/>
      <c r="H339" s="104"/>
    </row>
    <row r="340" spans="2:8">
      <c r="B340" s="104"/>
      <c r="C340" s="104"/>
      <c r="D340" s="104"/>
      <c r="E340" s="104"/>
      <c r="F340" s="104"/>
      <c r="G340" s="104"/>
      <c r="H340" s="104"/>
    </row>
    <row r="341" spans="2:8">
      <c r="B341" s="104"/>
      <c r="C341" s="104"/>
      <c r="D341" s="104"/>
      <c r="E341" s="104"/>
      <c r="F341" s="104"/>
      <c r="G341" s="104"/>
      <c r="H341" s="104"/>
    </row>
    <row r="342" spans="2:8">
      <c r="B342" s="104"/>
      <c r="C342" s="104"/>
      <c r="D342" s="104"/>
      <c r="E342" s="104"/>
      <c r="F342" s="104"/>
      <c r="G342" s="104"/>
      <c r="H342" s="104"/>
    </row>
    <row r="343" spans="2:8">
      <c r="B343" s="104"/>
      <c r="C343" s="104"/>
      <c r="D343" s="104"/>
      <c r="E343" s="104"/>
      <c r="F343" s="104"/>
      <c r="G343" s="104"/>
      <c r="H343" s="104"/>
    </row>
    <row r="344" spans="2:8">
      <c r="B344" s="104"/>
      <c r="C344" s="104"/>
      <c r="D344" s="104"/>
      <c r="E344" s="104"/>
      <c r="F344" s="104"/>
      <c r="G344" s="104"/>
      <c r="H344" s="104"/>
    </row>
    <row r="345" spans="2:8">
      <c r="B345" s="104"/>
      <c r="C345" s="104"/>
      <c r="D345" s="104"/>
      <c r="E345" s="104"/>
      <c r="F345" s="104"/>
      <c r="G345" s="104"/>
      <c r="H345" s="104"/>
    </row>
    <row r="346" spans="2:8">
      <c r="B346" s="104"/>
      <c r="C346" s="104"/>
      <c r="D346" s="104"/>
      <c r="E346" s="104"/>
      <c r="F346" s="104"/>
      <c r="G346" s="104"/>
      <c r="H346" s="104"/>
    </row>
    <row r="347" spans="2:8">
      <c r="B347" s="104"/>
      <c r="C347" s="104"/>
      <c r="D347" s="104"/>
      <c r="E347" s="104"/>
      <c r="F347" s="104"/>
      <c r="G347" s="104"/>
      <c r="H347" s="104"/>
    </row>
    <row r="348" spans="2:8">
      <c r="B348" s="104"/>
      <c r="C348" s="104"/>
      <c r="D348" s="104"/>
      <c r="E348" s="104"/>
      <c r="F348" s="104"/>
      <c r="G348" s="104"/>
      <c r="H348" s="104"/>
    </row>
    <row r="349" spans="2:8">
      <c r="B349" s="104"/>
      <c r="C349" s="104"/>
      <c r="D349" s="104"/>
      <c r="E349" s="104"/>
      <c r="F349" s="104"/>
      <c r="G349" s="104"/>
      <c r="H349" s="104"/>
    </row>
    <row r="350" spans="2:8">
      <c r="B350" s="104"/>
      <c r="C350" s="104"/>
      <c r="D350" s="104"/>
      <c r="E350" s="104"/>
      <c r="F350" s="104"/>
      <c r="G350" s="104"/>
      <c r="H350" s="104"/>
    </row>
    <row r="351" spans="2:8">
      <c r="B351" s="104"/>
      <c r="C351" s="104"/>
      <c r="D351" s="104"/>
      <c r="E351" s="104"/>
      <c r="F351" s="104"/>
      <c r="G351" s="104"/>
      <c r="H351" s="104"/>
    </row>
    <row r="352" spans="2:8">
      <c r="B352" s="104"/>
      <c r="C352" s="104"/>
      <c r="D352" s="104"/>
      <c r="E352" s="104"/>
      <c r="F352" s="104"/>
      <c r="G352" s="104"/>
      <c r="H352" s="104"/>
    </row>
    <row r="353" spans="2:8">
      <c r="B353" s="104"/>
      <c r="C353" s="104"/>
      <c r="D353" s="104"/>
      <c r="E353" s="104"/>
      <c r="F353" s="104"/>
      <c r="G353" s="104"/>
      <c r="H353" s="104"/>
    </row>
    <row r="354" spans="2:8">
      <c r="B354" s="104"/>
      <c r="C354" s="104"/>
      <c r="D354" s="104"/>
      <c r="E354" s="104"/>
      <c r="F354" s="104"/>
      <c r="G354" s="104"/>
      <c r="H354" s="104"/>
    </row>
    <row r="355" spans="2:8">
      <c r="B355" s="104"/>
      <c r="C355" s="104"/>
      <c r="D355" s="104"/>
      <c r="E355" s="104"/>
      <c r="F355" s="104"/>
      <c r="G355" s="104"/>
      <c r="H355" s="104"/>
    </row>
    <row r="356" spans="2:8">
      <c r="B356" s="104"/>
      <c r="C356" s="104"/>
      <c r="D356" s="104"/>
      <c r="E356" s="104"/>
      <c r="F356" s="104"/>
      <c r="G356" s="104"/>
      <c r="H356" s="104"/>
    </row>
    <row r="357" spans="2:8">
      <c r="B357" s="104"/>
      <c r="C357" s="104"/>
      <c r="D357" s="104"/>
      <c r="E357" s="104"/>
      <c r="F357" s="104"/>
      <c r="G357" s="104"/>
      <c r="H357" s="104"/>
    </row>
    <row r="358" spans="2:8">
      <c r="B358" s="104"/>
      <c r="C358" s="104"/>
      <c r="D358" s="104"/>
      <c r="E358" s="104"/>
      <c r="F358" s="104"/>
      <c r="G358" s="104"/>
      <c r="H358" s="104"/>
    </row>
    <row r="359" spans="2:8">
      <c r="B359" s="104"/>
      <c r="C359" s="104"/>
      <c r="D359" s="104"/>
      <c r="E359" s="104"/>
      <c r="F359" s="104"/>
      <c r="G359" s="104"/>
      <c r="H359" s="104"/>
    </row>
    <row r="360" spans="2:8">
      <c r="B360" s="104"/>
      <c r="C360" s="104"/>
      <c r="D360" s="104"/>
      <c r="E360" s="104"/>
      <c r="F360" s="104"/>
      <c r="G360" s="104"/>
      <c r="H360" s="104"/>
    </row>
    <row r="361" spans="2:8">
      <c r="B361" s="104"/>
      <c r="C361" s="104"/>
      <c r="D361" s="104"/>
      <c r="E361" s="104"/>
      <c r="F361" s="104"/>
      <c r="G361" s="104"/>
      <c r="H361" s="104"/>
    </row>
    <row r="362" spans="2:8">
      <c r="B362" s="104"/>
      <c r="C362" s="104"/>
      <c r="D362" s="104"/>
      <c r="E362" s="104"/>
      <c r="F362" s="104"/>
      <c r="G362" s="104"/>
      <c r="H362" s="104"/>
    </row>
    <row r="363" spans="2:8">
      <c r="B363" s="104"/>
      <c r="C363" s="104"/>
      <c r="D363" s="104"/>
      <c r="E363" s="104"/>
      <c r="F363" s="104"/>
      <c r="G363" s="104"/>
      <c r="H363" s="104"/>
    </row>
    <row r="364" spans="2:8">
      <c r="B364" s="104"/>
      <c r="C364" s="104"/>
      <c r="D364" s="104"/>
      <c r="E364" s="104"/>
      <c r="F364" s="104"/>
      <c r="G364" s="104"/>
      <c r="H364" s="104"/>
    </row>
    <row r="365" spans="2:8">
      <c r="B365" s="104"/>
      <c r="C365" s="104"/>
      <c r="D365" s="104"/>
      <c r="E365" s="104"/>
      <c r="F365" s="104"/>
      <c r="G365" s="104"/>
      <c r="H365" s="104"/>
    </row>
    <row r="366" spans="2:8">
      <c r="B366" s="104"/>
      <c r="C366" s="104"/>
      <c r="D366" s="104"/>
      <c r="E366" s="104"/>
      <c r="F366" s="104"/>
      <c r="G366" s="104"/>
      <c r="H366" s="104"/>
    </row>
    <row r="367" spans="2:8">
      <c r="B367" s="104"/>
      <c r="C367" s="104"/>
      <c r="D367" s="104"/>
      <c r="E367" s="104"/>
      <c r="F367" s="104"/>
      <c r="G367" s="104"/>
      <c r="H367" s="104"/>
    </row>
    <row r="368" spans="2:8">
      <c r="B368" s="104"/>
      <c r="C368" s="104"/>
      <c r="D368" s="104"/>
      <c r="E368" s="104"/>
      <c r="F368" s="104"/>
      <c r="G368" s="104"/>
      <c r="H368" s="104"/>
    </row>
    <row r="369" spans="2:8">
      <c r="B369" s="104"/>
      <c r="C369" s="104"/>
      <c r="D369" s="104"/>
      <c r="E369" s="104"/>
      <c r="F369" s="104"/>
      <c r="G369" s="104"/>
      <c r="H369" s="104"/>
    </row>
    <row r="370" spans="2:8">
      <c r="B370" s="104"/>
      <c r="C370" s="104"/>
      <c r="D370" s="104"/>
      <c r="E370" s="104"/>
      <c r="F370" s="104"/>
      <c r="G370" s="104"/>
      <c r="H370" s="104"/>
    </row>
    <row r="371" spans="2:8">
      <c r="B371" s="104"/>
      <c r="C371" s="104"/>
      <c r="D371" s="104"/>
      <c r="E371" s="104"/>
      <c r="F371" s="104"/>
      <c r="G371" s="104"/>
      <c r="H371" s="104"/>
    </row>
    <row r="372" spans="2:8">
      <c r="B372" s="104"/>
      <c r="C372" s="104"/>
      <c r="D372" s="104"/>
      <c r="E372" s="104"/>
      <c r="F372" s="104"/>
      <c r="G372" s="104"/>
      <c r="H372" s="104"/>
    </row>
    <row r="373" spans="2:8">
      <c r="B373" s="104"/>
      <c r="C373" s="104"/>
      <c r="D373" s="104"/>
      <c r="E373" s="104"/>
      <c r="F373" s="104"/>
      <c r="G373" s="104"/>
      <c r="H373" s="104"/>
    </row>
    <row r="374" spans="2:8">
      <c r="B374" s="104"/>
      <c r="C374" s="104"/>
      <c r="D374" s="104"/>
      <c r="E374" s="104"/>
      <c r="F374" s="104"/>
      <c r="G374" s="104"/>
      <c r="H374" s="104"/>
    </row>
    <row r="375" spans="2:8">
      <c r="B375" s="104"/>
      <c r="C375" s="104"/>
      <c r="D375" s="104"/>
      <c r="E375" s="104"/>
      <c r="F375" s="104"/>
      <c r="G375" s="104"/>
      <c r="H375" s="104"/>
    </row>
    <row r="376" spans="2:8">
      <c r="B376" s="104"/>
      <c r="C376" s="104"/>
      <c r="D376" s="104"/>
      <c r="E376" s="104"/>
      <c r="F376" s="104"/>
      <c r="G376" s="104"/>
      <c r="H376" s="104"/>
    </row>
    <row r="377" spans="2:8">
      <c r="B377" s="104"/>
      <c r="C377" s="104"/>
      <c r="D377" s="104"/>
      <c r="E377" s="104"/>
      <c r="F377" s="104"/>
      <c r="G377" s="104"/>
      <c r="H377" s="104"/>
    </row>
    <row r="378" spans="2:8">
      <c r="B378" s="104"/>
      <c r="C378" s="104"/>
      <c r="D378" s="104"/>
      <c r="E378" s="104"/>
      <c r="F378" s="104"/>
      <c r="G378" s="104"/>
      <c r="H378" s="104"/>
    </row>
    <row r="379" spans="2:8">
      <c r="B379" s="104"/>
      <c r="C379" s="104"/>
      <c r="D379" s="104"/>
      <c r="E379" s="104"/>
      <c r="F379" s="104"/>
      <c r="G379" s="104"/>
      <c r="H379" s="104"/>
    </row>
    <row r="380" spans="2:8">
      <c r="B380" s="104"/>
      <c r="C380" s="104"/>
      <c r="D380" s="104"/>
      <c r="E380" s="104"/>
      <c r="F380" s="104"/>
      <c r="G380" s="104"/>
      <c r="H380" s="104"/>
    </row>
    <row r="381" spans="2:8">
      <c r="B381" s="104"/>
      <c r="C381" s="104"/>
      <c r="D381" s="104"/>
      <c r="E381" s="104"/>
      <c r="F381" s="104"/>
      <c r="G381" s="104"/>
      <c r="H381" s="104"/>
    </row>
    <row r="382" spans="2:8">
      <c r="B382" s="104"/>
      <c r="C382" s="104"/>
      <c r="D382" s="104"/>
      <c r="E382" s="104"/>
      <c r="F382" s="104"/>
      <c r="G382" s="104"/>
      <c r="H382" s="104"/>
    </row>
    <row r="383" spans="2:8">
      <c r="B383" s="104"/>
      <c r="C383" s="104"/>
      <c r="D383" s="104"/>
      <c r="E383" s="104"/>
      <c r="F383" s="104"/>
      <c r="G383" s="104"/>
      <c r="H383" s="104"/>
    </row>
    <row r="384" spans="2:8">
      <c r="B384" s="104"/>
      <c r="C384" s="104"/>
      <c r="D384" s="104"/>
      <c r="E384" s="104"/>
      <c r="F384" s="104"/>
      <c r="G384" s="104"/>
      <c r="H384" s="104"/>
    </row>
    <row r="385" spans="2:8">
      <c r="B385" s="104"/>
      <c r="C385" s="104"/>
      <c r="D385" s="104"/>
      <c r="E385" s="104"/>
      <c r="F385" s="104"/>
      <c r="G385" s="104"/>
      <c r="H385" s="104"/>
    </row>
    <row r="386" spans="2:8">
      <c r="B386" s="104"/>
      <c r="C386" s="104"/>
      <c r="D386" s="104"/>
      <c r="E386" s="104"/>
      <c r="F386" s="104"/>
      <c r="G386" s="104"/>
      <c r="H386" s="104"/>
    </row>
    <row r="387" spans="2:8">
      <c r="B387" s="104"/>
      <c r="C387" s="104"/>
      <c r="D387" s="104"/>
      <c r="E387" s="104"/>
      <c r="F387" s="104"/>
      <c r="G387" s="104"/>
      <c r="H387" s="104"/>
    </row>
    <row r="388" spans="2:8">
      <c r="B388" s="104"/>
      <c r="C388" s="104"/>
      <c r="D388" s="104"/>
      <c r="E388" s="104"/>
      <c r="F388" s="104"/>
      <c r="G388" s="104"/>
      <c r="H388" s="104"/>
    </row>
    <row r="389" spans="2:8">
      <c r="B389" s="104"/>
      <c r="C389" s="104"/>
      <c r="D389" s="104"/>
      <c r="E389" s="104"/>
      <c r="F389" s="104"/>
      <c r="G389" s="104"/>
      <c r="H389" s="104"/>
    </row>
    <row r="390" spans="2:8">
      <c r="B390" s="104"/>
      <c r="C390" s="104"/>
      <c r="D390" s="104"/>
      <c r="E390" s="104"/>
      <c r="F390" s="104"/>
      <c r="G390" s="104"/>
      <c r="H390" s="104"/>
    </row>
    <row r="391" spans="2:8">
      <c r="B391" s="104"/>
      <c r="C391" s="104"/>
      <c r="D391" s="104"/>
      <c r="E391" s="104"/>
      <c r="F391" s="104"/>
      <c r="G391" s="104"/>
      <c r="H391" s="104"/>
    </row>
    <row r="392" spans="2:8">
      <c r="B392" s="104"/>
      <c r="C392" s="104"/>
      <c r="D392" s="104"/>
      <c r="E392" s="104"/>
      <c r="F392" s="104"/>
      <c r="G392" s="104"/>
      <c r="H392" s="104"/>
    </row>
    <row r="393" spans="2:8">
      <c r="B393" s="104"/>
      <c r="C393" s="104"/>
      <c r="D393" s="104"/>
      <c r="E393" s="104"/>
      <c r="F393" s="104"/>
      <c r="G393" s="104"/>
      <c r="H393" s="104"/>
    </row>
    <row r="394" spans="2:8">
      <c r="B394" s="104"/>
      <c r="C394" s="104"/>
      <c r="D394" s="104"/>
      <c r="E394" s="104"/>
      <c r="F394" s="104"/>
      <c r="G394" s="104"/>
      <c r="H394" s="104"/>
    </row>
    <row r="395" spans="2:8">
      <c r="B395" s="104"/>
      <c r="C395" s="104"/>
      <c r="D395" s="104"/>
      <c r="E395" s="104"/>
      <c r="F395" s="104"/>
      <c r="G395" s="104"/>
      <c r="H395" s="104"/>
    </row>
    <row r="396" spans="2:8">
      <c r="B396" s="104"/>
      <c r="C396" s="104"/>
      <c r="D396" s="104"/>
      <c r="E396" s="104"/>
      <c r="F396" s="104"/>
      <c r="G396" s="104"/>
      <c r="H396" s="104"/>
    </row>
    <row r="397" spans="2:8">
      <c r="B397" s="104"/>
      <c r="C397" s="104"/>
      <c r="D397" s="104"/>
      <c r="E397" s="104"/>
      <c r="F397" s="104"/>
      <c r="G397" s="104"/>
      <c r="H397" s="104"/>
    </row>
    <row r="398" spans="2:8">
      <c r="B398" s="104"/>
      <c r="C398" s="104"/>
      <c r="D398" s="104"/>
      <c r="E398" s="104"/>
      <c r="F398" s="104"/>
      <c r="G398" s="104"/>
      <c r="H398" s="104"/>
    </row>
    <row r="399" spans="2:8">
      <c r="B399" s="104"/>
      <c r="C399" s="104"/>
      <c r="D399" s="104"/>
      <c r="E399" s="104"/>
      <c r="F399" s="104"/>
      <c r="G399" s="104"/>
      <c r="H399" s="104"/>
    </row>
    <row r="400" spans="2:8">
      <c r="B400" s="104"/>
      <c r="C400" s="104"/>
      <c r="D400" s="104"/>
      <c r="E400" s="104"/>
      <c r="F400" s="104"/>
      <c r="G400" s="104"/>
      <c r="H400" s="104"/>
    </row>
    <row r="401" spans="2:8">
      <c r="B401" s="104"/>
      <c r="C401" s="104"/>
      <c r="D401" s="104"/>
      <c r="E401" s="104"/>
      <c r="F401" s="104"/>
      <c r="G401" s="104"/>
      <c r="H401" s="104"/>
    </row>
    <row r="402" spans="2:8">
      <c r="B402" s="104"/>
      <c r="C402" s="104"/>
      <c r="D402" s="104"/>
      <c r="E402" s="104"/>
      <c r="F402" s="104"/>
      <c r="G402" s="104"/>
      <c r="H402" s="104"/>
    </row>
    <row r="403" spans="2:8">
      <c r="B403" s="104"/>
      <c r="C403" s="104"/>
      <c r="D403" s="104"/>
      <c r="E403" s="104"/>
      <c r="F403" s="104"/>
      <c r="G403" s="104"/>
      <c r="H403" s="104"/>
    </row>
    <row r="404" spans="2:8">
      <c r="B404" s="104"/>
      <c r="C404" s="104"/>
      <c r="D404" s="104"/>
      <c r="E404" s="104"/>
      <c r="F404" s="104"/>
      <c r="G404" s="104"/>
      <c r="H404" s="104"/>
    </row>
    <row r="405" spans="2:8">
      <c r="B405" s="104"/>
      <c r="C405" s="104"/>
      <c r="D405" s="104"/>
      <c r="E405" s="104"/>
      <c r="F405" s="104"/>
      <c r="G405" s="104"/>
      <c r="H405" s="104"/>
    </row>
    <row r="406" spans="2:8">
      <c r="B406" s="104"/>
      <c r="C406" s="104"/>
      <c r="D406" s="104"/>
      <c r="E406" s="104"/>
      <c r="F406" s="104"/>
      <c r="G406" s="104"/>
      <c r="H406" s="104"/>
    </row>
    <row r="407" spans="2:8">
      <c r="B407" s="104"/>
      <c r="C407" s="104"/>
      <c r="D407" s="104"/>
      <c r="E407" s="104"/>
      <c r="F407" s="104"/>
      <c r="G407" s="104"/>
      <c r="H407" s="104"/>
    </row>
    <row r="408" spans="2:8">
      <c r="B408" s="104"/>
      <c r="C408" s="104"/>
      <c r="D408" s="104"/>
      <c r="E408" s="104"/>
      <c r="F408" s="104"/>
      <c r="G408" s="104"/>
      <c r="H408" s="104"/>
    </row>
    <row r="409" spans="2:8">
      <c r="B409" s="104"/>
      <c r="C409" s="104"/>
      <c r="D409" s="104"/>
      <c r="E409" s="104"/>
      <c r="F409" s="104"/>
      <c r="G409" s="104"/>
      <c r="H409" s="104"/>
    </row>
    <row r="410" spans="2:8">
      <c r="B410" s="104"/>
      <c r="C410" s="104"/>
      <c r="D410" s="104"/>
      <c r="E410" s="104"/>
      <c r="F410" s="104"/>
      <c r="G410" s="104"/>
      <c r="H410" s="104"/>
    </row>
    <row r="411" spans="2:8">
      <c r="B411" s="104"/>
      <c r="C411" s="104"/>
      <c r="D411" s="104"/>
      <c r="E411" s="104"/>
      <c r="F411" s="104"/>
      <c r="G411" s="104"/>
      <c r="H411" s="104"/>
    </row>
    <row r="412" spans="2:8">
      <c r="B412" s="104"/>
      <c r="C412" s="104"/>
      <c r="D412" s="104"/>
      <c r="E412" s="104"/>
      <c r="F412" s="104"/>
      <c r="G412" s="104"/>
      <c r="H412" s="104"/>
    </row>
    <row r="413" spans="2:8">
      <c r="B413" s="104"/>
      <c r="C413" s="104"/>
      <c r="D413" s="104"/>
      <c r="E413" s="104"/>
      <c r="F413" s="104"/>
      <c r="G413" s="104"/>
      <c r="H413" s="104"/>
    </row>
    <row r="414" spans="2:8">
      <c r="B414" s="104"/>
      <c r="C414" s="104"/>
      <c r="D414" s="104"/>
      <c r="E414" s="104"/>
      <c r="F414" s="104"/>
      <c r="G414" s="104"/>
      <c r="H414" s="104"/>
    </row>
    <row r="415" spans="2:8">
      <c r="B415" s="104"/>
      <c r="C415" s="104"/>
      <c r="D415" s="104"/>
      <c r="E415" s="104"/>
      <c r="F415" s="104"/>
      <c r="G415" s="104"/>
      <c r="H415" s="104"/>
    </row>
    <row r="416" spans="2:8">
      <c r="B416" s="104"/>
      <c r="C416" s="104"/>
      <c r="D416" s="104"/>
      <c r="E416" s="104"/>
      <c r="F416" s="104"/>
      <c r="G416" s="104"/>
      <c r="H416" s="104"/>
    </row>
    <row r="417" spans="2:8">
      <c r="B417" s="104"/>
      <c r="C417" s="104"/>
      <c r="D417" s="104"/>
      <c r="E417" s="104"/>
      <c r="F417" s="104"/>
      <c r="G417" s="104"/>
      <c r="H417" s="104"/>
    </row>
    <row r="418" spans="2:8">
      <c r="B418" s="104"/>
      <c r="C418" s="104"/>
      <c r="D418" s="104"/>
      <c r="E418" s="104"/>
      <c r="F418" s="104"/>
      <c r="G418" s="104"/>
      <c r="H418" s="104"/>
    </row>
    <row r="419" spans="2:8">
      <c r="B419" s="104"/>
      <c r="C419" s="104"/>
      <c r="D419" s="104"/>
      <c r="E419" s="104"/>
      <c r="F419" s="104"/>
      <c r="G419" s="104"/>
      <c r="H419" s="104"/>
    </row>
    <row r="420" spans="2:8">
      <c r="B420" s="104"/>
      <c r="C420" s="104"/>
      <c r="D420" s="104"/>
      <c r="E420" s="104"/>
      <c r="F420" s="104"/>
      <c r="G420" s="104"/>
      <c r="H420" s="104"/>
    </row>
    <row r="421" spans="2:8">
      <c r="B421" s="104"/>
      <c r="C421" s="104"/>
      <c r="D421" s="104"/>
      <c r="E421" s="104"/>
      <c r="F421" s="104"/>
      <c r="G421" s="104"/>
      <c r="H421" s="104"/>
    </row>
    <row r="422" spans="2:8">
      <c r="B422" s="104"/>
      <c r="C422" s="104"/>
      <c r="D422" s="104"/>
      <c r="E422" s="104"/>
      <c r="F422" s="104"/>
      <c r="G422" s="104"/>
      <c r="H422" s="104"/>
    </row>
    <row r="423" spans="2:8">
      <c r="B423" s="104"/>
      <c r="C423" s="104"/>
      <c r="D423" s="104"/>
      <c r="E423" s="104"/>
      <c r="F423" s="104"/>
      <c r="G423" s="104"/>
      <c r="H423" s="104"/>
    </row>
    <row r="424" spans="2:8">
      <c r="B424" s="104"/>
      <c r="C424" s="104"/>
      <c r="D424" s="104"/>
      <c r="E424" s="104"/>
      <c r="F424" s="104"/>
      <c r="G424" s="104"/>
      <c r="H424" s="104"/>
    </row>
    <row r="425" spans="2:8">
      <c r="B425" s="104"/>
      <c r="C425" s="104"/>
      <c r="D425" s="104"/>
      <c r="E425" s="104"/>
      <c r="F425" s="104"/>
      <c r="G425" s="104"/>
      <c r="H425" s="104"/>
    </row>
    <row r="426" spans="2:8">
      <c r="B426" s="104"/>
      <c r="C426" s="104"/>
      <c r="D426" s="104"/>
      <c r="E426" s="104"/>
      <c r="F426" s="104"/>
      <c r="G426" s="104"/>
      <c r="H426" s="104"/>
    </row>
    <row r="427" spans="2:8">
      <c r="B427" s="104"/>
      <c r="C427" s="104"/>
      <c r="D427" s="104"/>
      <c r="E427" s="104"/>
      <c r="F427" s="104"/>
      <c r="G427" s="104"/>
      <c r="H427" s="104"/>
    </row>
    <row r="428" spans="2:8">
      <c r="B428" s="104"/>
      <c r="C428" s="104"/>
      <c r="D428" s="104"/>
      <c r="E428" s="104"/>
      <c r="F428" s="104"/>
      <c r="G428" s="104"/>
      <c r="H428" s="104"/>
    </row>
    <row r="429" spans="2:8">
      <c r="B429" s="104"/>
      <c r="C429" s="104"/>
      <c r="D429" s="104"/>
      <c r="E429" s="104"/>
      <c r="F429" s="104"/>
      <c r="G429" s="104"/>
      <c r="H429" s="104"/>
    </row>
    <row r="430" spans="2:8">
      <c r="B430" s="104"/>
      <c r="C430" s="104"/>
      <c r="D430" s="104"/>
      <c r="E430" s="104"/>
      <c r="F430" s="104"/>
      <c r="G430" s="104"/>
      <c r="H430" s="104"/>
    </row>
    <row r="431" spans="2:8">
      <c r="B431" s="104"/>
      <c r="C431" s="104"/>
      <c r="D431" s="104"/>
      <c r="E431" s="104"/>
      <c r="F431" s="104"/>
      <c r="G431" s="104"/>
      <c r="H431" s="104"/>
    </row>
    <row r="432" spans="2:8">
      <c r="B432" s="104"/>
      <c r="C432" s="104"/>
      <c r="D432" s="104"/>
      <c r="E432" s="104"/>
      <c r="F432" s="104"/>
      <c r="G432" s="104"/>
      <c r="H432" s="104"/>
    </row>
    <row r="433" spans="2:8">
      <c r="B433" s="104"/>
      <c r="C433" s="104"/>
      <c r="D433" s="104"/>
      <c r="E433" s="104"/>
      <c r="F433" s="104"/>
      <c r="G433" s="104"/>
      <c r="H433" s="104"/>
    </row>
    <row r="434" spans="2:8">
      <c r="B434" s="104"/>
      <c r="C434" s="104"/>
      <c r="D434" s="104"/>
      <c r="E434" s="104"/>
      <c r="F434" s="104"/>
      <c r="G434" s="104"/>
      <c r="H434" s="104"/>
    </row>
    <row r="435" spans="2:8">
      <c r="B435" s="104"/>
      <c r="C435" s="104"/>
      <c r="D435" s="104"/>
      <c r="E435" s="104"/>
      <c r="F435" s="104"/>
      <c r="G435" s="104"/>
      <c r="H435" s="104"/>
    </row>
    <row r="436" spans="2:8">
      <c r="B436" s="104"/>
      <c r="C436" s="104"/>
      <c r="D436" s="104"/>
      <c r="E436" s="104"/>
      <c r="F436" s="104"/>
      <c r="G436" s="104"/>
      <c r="H436" s="104"/>
    </row>
    <row r="437" spans="2:8">
      <c r="B437" s="104"/>
      <c r="C437" s="104"/>
      <c r="D437" s="104"/>
      <c r="E437" s="104"/>
      <c r="F437" s="104"/>
      <c r="G437" s="104"/>
      <c r="H437" s="104"/>
    </row>
    <row r="438" spans="2:8">
      <c r="B438" s="104"/>
      <c r="C438" s="104"/>
      <c r="D438" s="104"/>
      <c r="E438" s="104"/>
      <c r="F438" s="104"/>
      <c r="G438" s="104"/>
      <c r="H438" s="104"/>
    </row>
    <row r="439" spans="2:8">
      <c r="B439" s="104"/>
      <c r="C439" s="104"/>
      <c r="D439" s="104"/>
      <c r="E439" s="104"/>
      <c r="F439" s="104"/>
      <c r="G439" s="104"/>
      <c r="H439" s="104"/>
    </row>
    <row r="440" spans="2:8">
      <c r="B440" s="104"/>
      <c r="C440" s="104"/>
      <c r="D440" s="104"/>
      <c r="E440" s="104"/>
      <c r="F440" s="104"/>
      <c r="G440" s="104"/>
      <c r="H440" s="104"/>
    </row>
    <row r="441" spans="2:8">
      <c r="B441" s="104"/>
      <c r="C441" s="104"/>
      <c r="D441" s="104"/>
      <c r="E441" s="104"/>
      <c r="F441" s="104"/>
      <c r="G441" s="104"/>
      <c r="H441" s="104"/>
    </row>
    <row r="442" spans="2:8">
      <c r="B442" s="104"/>
      <c r="C442" s="104"/>
      <c r="D442" s="104"/>
      <c r="E442" s="104"/>
      <c r="F442" s="104"/>
      <c r="G442" s="104"/>
      <c r="H442" s="104"/>
    </row>
    <row r="443" spans="2:8">
      <c r="B443" s="104"/>
      <c r="C443" s="104"/>
      <c r="D443" s="104"/>
      <c r="E443" s="104"/>
      <c r="F443" s="104"/>
      <c r="G443" s="104"/>
      <c r="H443" s="104"/>
    </row>
    <row r="444" spans="2:8">
      <c r="B444" s="104"/>
      <c r="C444" s="104"/>
      <c r="D444" s="104"/>
      <c r="E444" s="104"/>
      <c r="F444" s="104"/>
      <c r="G444" s="104"/>
      <c r="H444" s="104"/>
    </row>
    <row r="445" spans="2:8">
      <c r="B445" s="104"/>
      <c r="C445" s="104"/>
      <c r="D445" s="104"/>
      <c r="E445" s="104"/>
      <c r="F445" s="104"/>
      <c r="G445" s="104"/>
      <c r="H445" s="104"/>
    </row>
    <row r="446" spans="2:8">
      <c r="B446" s="104"/>
      <c r="C446" s="104"/>
      <c r="D446" s="104"/>
      <c r="E446" s="104"/>
      <c r="F446" s="104"/>
      <c r="G446" s="104"/>
      <c r="H446" s="104"/>
    </row>
    <row r="447" spans="2:8">
      <c r="B447" s="104"/>
      <c r="C447" s="104"/>
      <c r="D447" s="104"/>
      <c r="E447" s="104"/>
      <c r="F447" s="104"/>
      <c r="G447" s="104"/>
      <c r="H447" s="104"/>
    </row>
    <row r="448" spans="2:8">
      <c r="B448" s="104"/>
      <c r="C448" s="104"/>
      <c r="D448" s="104"/>
      <c r="E448" s="104"/>
      <c r="F448" s="104"/>
      <c r="G448" s="104"/>
      <c r="H448" s="104"/>
    </row>
    <row r="449" spans="2:8">
      <c r="B449" s="104"/>
      <c r="C449" s="104"/>
      <c r="D449" s="104"/>
      <c r="E449" s="104"/>
      <c r="F449" s="104"/>
      <c r="G449" s="104"/>
      <c r="H449" s="104"/>
    </row>
    <row r="450" spans="2:8">
      <c r="B450" s="104"/>
      <c r="C450" s="104"/>
      <c r="D450" s="104"/>
      <c r="E450" s="104"/>
      <c r="F450" s="104"/>
      <c r="G450" s="104"/>
      <c r="H450" s="104"/>
    </row>
    <row r="451" spans="2:8">
      <c r="B451" s="104"/>
      <c r="C451" s="104"/>
      <c r="D451" s="104"/>
      <c r="E451" s="104"/>
      <c r="F451" s="104"/>
      <c r="G451" s="104"/>
      <c r="H451" s="104"/>
    </row>
    <row r="452" spans="2:8">
      <c r="B452" s="104"/>
      <c r="C452" s="104"/>
      <c r="D452" s="104"/>
      <c r="E452" s="104"/>
      <c r="F452" s="104"/>
      <c r="G452" s="104"/>
      <c r="H452" s="104"/>
    </row>
    <row r="453" spans="2:8">
      <c r="B453" s="104"/>
      <c r="C453" s="104"/>
      <c r="D453" s="104"/>
      <c r="E453" s="104"/>
      <c r="F453" s="104"/>
      <c r="G453" s="104"/>
      <c r="H453" s="104"/>
    </row>
    <row r="454" spans="2:8">
      <c r="B454" s="104"/>
      <c r="C454" s="104"/>
      <c r="D454" s="104"/>
      <c r="E454" s="104"/>
      <c r="F454" s="104"/>
      <c r="G454" s="104"/>
      <c r="H454" s="104"/>
    </row>
    <row r="455" spans="2:8">
      <c r="B455" s="104"/>
      <c r="C455" s="104"/>
      <c r="D455" s="104"/>
      <c r="E455" s="104"/>
      <c r="F455" s="104"/>
      <c r="G455" s="104"/>
      <c r="H455" s="104"/>
    </row>
    <row r="456" spans="2:8">
      <c r="B456" s="104"/>
      <c r="C456" s="104"/>
      <c r="D456" s="104"/>
      <c r="E456" s="104"/>
      <c r="F456" s="104"/>
      <c r="G456" s="104"/>
      <c r="H456" s="104"/>
    </row>
    <row r="457" spans="2:8">
      <c r="B457" s="104"/>
      <c r="C457" s="104"/>
      <c r="D457" s="104"/>
      <c r="E457" s="104"/>
      <c r="F457" s="104"/>
      <c r="G457" s="104"/>
      <c r="H457" s="104"/>
    </row>
    <row r="458" spans="2:8">
      <c r="B458" s="104"/>
      <c r="C458" s="104"/>
      <c r="D458" s="104"/>
      <c r="E458" s="104"/>
      <c r="F458" s="104"/>
      <c r="G458" s="104"/>
      <c r="H458" s="104"/>
    </row>
    <row r="459" spans="2:8">
      <c r="B459" s="104"/>
      <c r="C459" s="104"/>
      <c r="D459" s="104"/>
      <c r="E459" s="104"/>
      <c r="F459" s="104"/>
      <c r="G459" s="104"/>
      <c r="H459" s="104"/>
    </row>
    <row r="460" spans="2:8">
      <c r="B460" s="104"/>
      <c r="C460" s="104"/>
      <c r="D460" s="104"/>
      <c r="E460" s="104"/>
      <c r="F460" s="104"/>
      <c r="G460" s="104"/>
      <c r="H460" s="104"/>
    </row>
    <row r="461" spans="2:8">
      <c r="B461" s="104"/>
      <c r="C461" s="104"/>
      <c r="D461" s="104"/>
      <c r="E461" s="104"/>
      <c r="F461" s="104"/>
      <c r="G461" s="104"/>
      <c r="H461" s="104"/>
    </row>
    <row r="462" spans="2:8">
      <c r="B462" s="104"/>
      <c r="C462" s="104"/>
      <c r="D462" s="104"/>
      <c r="E462" s="104"/>
      <c r="F462" s="104"/>
      <c r="G462" s="104"/>
      <c r="H462" s="104"/>
    </row>
    <row r="463" spans="2:8">
      <c r="B463" s="104"/>
      <c r="C463" s="104"/>
      <c r="D463" s="104"/>
      <c r="E463" s="104"/>
      <c r="F463" s="104"/>
      <c r="G463" s="104"/>
      <c r="H463" s="104"/>
    </row>
    <row r="464" spans="2:8">
      <c r="B464" s="104"/>
      <c r="C464" s="104"/>
      <c r="D464" s="104"/>
      <c r="E464" s="104"/>
      <c r="F464" s="104"/>
      <c r="G464" s="104"/>
      <c r="H464" s="104"/>
    </row>
    <row r="465" spans="2:8">
      <c r="B465" s="104"/>
      <c r="C465" s="104"/>
      <c r="D465" s="104"/>
      <c r="E465" s="104"/>
      <c r="F465" s="104"/>
      <c r="G465" s="104"/>
      <c r="H465" s="104"/>
    </row>
    <row r="466" spans="2:8">
      <c r="B466" s="104"/>
      <c r="C466" s="104"/>
      <c r="D466" s="104"/>
      <c r="E466" s="104"/>
      <c r="F466" s="104"/>
      <c r="G466" s="104"/>
      <c r="H466" s="104"/>
    </row>
    <row r="467" spans="2:8">
      <c r="B467" s="104"/>
      <c r="C467" s="104"/>
      <c r="D467" s="104"/>
      <c r="E467" s="104"/>
      <c r="F467" s="104"/>
      <c r="G467" s="104"/>
      <c r="H467" s="104"/>
    </row>
    <row r="468" spans="2:8">
      <c r="B468" s="104"/>
      <c r="C468" s="104"/>
      <c r="D468" s="104"/>
      <c r="E468" s="104"/>
      <c r="F468" s="104"/>
      <c r="G468" s="104"/>
      <c r="H468" s="104"/>
    </row>
    <row r="469" spans="2:8">
      <c r="B469" s="104"/>
      <c r="C469" s="104"/>
      <c r="D469" s="104"/>
      <c r="E469" s="104"/>
      <c r="F469" s="104"/>
      <c r="G469" s="104"/>
      <c r="H469" s="104"/>
    </row>
    <row r="470" spans="2:8">
      <c r="B470" s="104"/>
      <c r="C470" s="104"/>
      <c r="D470" s="104"/>
      <c r="E470" s="104"/>
      <c r="F470" s="104"/>
      <c r="G470" s="104"/>
      <c r="H470" s="104"/>
    </row>
    <row r="471" spans="2:8">
      <c r="B471" s="104"/>
      <c r="C471" s="104"/>
      <c r="D471" s="104"/>
      <c r="E471" s="104"/>
      <c r="F471" s="104"/>
      <c r="G471" s="104"/>
      <c r="H471" s="104"/>
    </row>
    <row r="472" spans="2:8">
      <c r="B472" s="104"/>
      <c r="C472" s="104"/>
      <c r="D472" s="104"/>
      <c r="E472" s="104"/>
      <c r="F472" s="104"/>
      <c r="G472" s="104"/>
      <c r="H472" s="104"/>
    </row>
    <row r="473" spans="2:8">
      <c r="B473" s="104"/>
      <c r="C473" s="104"/>
      <c r="D473" s="104"/>
      <c r="E473" s="104"/>
      <c r="F473" s="104"/>
      <c r="G473" s="104"/>
      <c r="H473" s="104"/>
    </row>
    <row r="474" spans="2:8">
      <c r="B474" s="104"/>
      <c r="C474" s="104"/>
      <c r="D474" s="104"/>
      <c r="E474" s="104"/>
      <c r="F474" s="104"/>
      <c r="G474" s="104"/>
      <c r="H474" s="104"/>
    </row>
    <row r="475" spans="2:8">
      <c r="B475" s="104"/>
      <c r="C475" s="104"/>
      <c r="D475" s="104"/>
      <c r="E475" s="104"/>
      <c r="F475" s="104"/>
      <c r="G475" s="104"/>
      <c r="H475" s="104"/>
    </row>
    <row r="476" spans="2:8">
      <c r="B476" s="104"/>
      <c r="C476" s="104"/>
      <c r="D476" s="104"/>
      <c r="E476" s="104"/>
      <c r="F476" s="104"/>
      <c r="G476" s="104"/>
      <c r="H476" s="104"/>
    </row>
    <row r="477" spans="2:8">
      <c r="B477" s="104"/>
      <c r="C477" s="104"/>
      <c r="D477" s="104"/>
      <c r="E477" s="104"/>
      <c r="F477" s="104"/>
      <c r="G477" s="104"/>
      <c r="H477" s="104"/>
    </row>
    <row r="478" spans="2:8">
      <c r="B478" s="104"/>
      <c r="C478" s="104"/>
      <c r="D478" s="104"/>
      <c r="E478" s="104"/>
      <c r="F478" s="104"/>
      <c r="G478" s="104"/>
      <c r="H478" s="104"/>
    </row>
    <row r="479" spans="2:8">
      <c r="B479" s="104"/>
      <c r="C479" s="104"/>
      <c r="D479" s="104"/>
      <c r="E479" s="104"/>
      <c r="F479" s="104"/>
      <c r="G479" s="104"/>
      <c r="H479" s="104"/>
    </row>
    <row r="480" spans="2:8">
      <c r="B480" s="104"/>
      <c r="C480" s="104"/>
      <c r="D480" s="104"/>
      <c r="E480" s="104"/>
      <c r="F480" s="104"/>
      <c r="G480" s="104"/>
      <c r="H480" s="104"/>
    </row>
    <row r="481" spans="2:8">
      <c r="B481" s="104"/>
      <c r="C481" s="104"/>
      <c r="D481" s="104"/>
      <c r="E481" s="104"/>
      <c r="F481" s="104"/>
      <c r="G481" s="104"/>
      <c r="H481" s="104"/>
    </row>
    <row r="482" spans="2:8">
      <c r="B482" s="104"/>
      <c r="C482" s="104"/>
      <c r="D482" s="104"/>
      <c r="E482" s="104"/>
      <c r="F482" s="104"/>
      <c r="G482" s="104"/>
      <c r="H482" s="104"/>
    </row>
    <row r="483" spans="2:8">
      <c r="B483" s="104"/>
      <c r="C483" s="104"/>
      <c r="D483" s="104"/>
      <c r="E483" s="104"/>
      <c r="F483" s="104"/>
      <c r="G483" s="104"/>
      <c r="H483" s="104"/>
    </row>
    <row r="484" spans="2:8">
      <c r="B484" s="104"/>
      <c r="C484" s="104"/>
      <c r="D484" s="104"/>
      <c r="E484" s="104"/>
      <c r="F484" s="104"/>
      <c r="G484" s="104"/>
      <c r="H484" s="104"/>
    </row>
    <row r="485" spans="2:8">
      <c r="B485" s="104"/>
      <c r="C485" s="104"/>
      <c r="D485" s="104"/>
      <c r="E485" s="104"/>
      <c r="F485" s="104"/>
      <c r="G485" s="104"/>
      <c r="H485" s="104"/>
    </row>
    <row r="486" spans="2:8">
      <c r="B486" s="104"/>
      <c r="C486" s="104"/>
      <c r="D486" s="104"/>
      <c r="E486" s="104"/>
      <c r="F486" s="104"/>
      <c r="G486" s="104"/>
      <c r="H486" s="104"/>
    </row>
    <row r="487" spans="2:8">
      <c r="B487" s="104"/>
      <c r="C487" s="104"/>
      <c r="D487" s="104"/>
      <c r="E487" s="104"/>
      <c r="F487" s="104"/>
      <c r="G487" s="104"/>
      <c r="H487" s="104"/>
    </row>
    <row r="488" spans="2:8">
      <c r="B488" s="104"/>
      <c r="C488" s="104"/>
      <c r="D488" s="104"/>
      <c r="E488" s="104"/>
      <c r="F488" s="104"/>
      <c r="G488" s="104"/>
      <c r="H488" s="104"/>
    </row>
    <row r="489" spans="2:8">
      <c r="B489" s="104"/>
      <c r="C489" s="104"/>
      <c r="D489" s="104"/>
      <c r="E489" s="104"/>
      <c r="F489" s="104"/>
      <c r="G489" s="104"/>
      <c r="H489" s="104"/>
    </row>
    <row r="490" spans="2:8">
      <c r="B490" s="104"/>
      <c r="C490" s="104"/>
      <c r="D490" s="104"/>
      <c r="E490" s="104"/>
      <c r="F490" s="104"/>
      <c r="G490" s="104"/>
      <c r="H490" s="104"/>
    </row>
    <row r="491" spans="2:8">
      <c r="B491" s="104"/>
      <c r="C491" s="104"/>
      <c r="D491" s="104"/>
      <c r="E491" s="104"/>
      <c r="F491" s="104"/>
      <c r="G491" s="104"/>
      <c r="H491" s="104"/>
    </row>
    <row r="492" spans="2:8">
      <c r="B492" s="104"/>
      <c r="C492" s="104"/>
      <c r="D492" s="104"/>
      <c r="E492" s="104"/>
      <c r="F492" s="104"/>
      <c r="G492" s="104"/>
      <c r="H492" s="104"/>
    </row>
    <row r="493" spans="2:8">
      <c r="B493" s="104"/>
      <c r="C493" s="104"/>
      <c r="D493" s="104"/>
      <c r="E493" s="104"/>
      <c r="F493" s="104"/>
      <c r="G493" s="104"/>
      <c r="H493" s="104"/>
    </row>
    <row r="494" spans="2:8">
      <c r="B494" s="104"/>
      <c r="C494" s="104"/>
      <c r="D494" s="104"/>
      <c r="E494" s="104"/>
      <c r="F494" s="104"/>
      <c r="G494" s="104"/>
      <c r="H494" s="104"/>
    </row>
    <row r="495" spans="2:8">
      <c r="B495" s="104"/>
      <c r="C495" s="104"/>
      <c r="D495" s="104"/>
      <c r="E495" s="104"/>
      <c r="F495" s="104"/>
      <c r="G495" s="104"/>
      <c r="H495" s="104"/>
    </row>
    <row r="496" spans="2:8">
      <c r="B496" s="104"/>
      <c r="C496" s="104"/>
      <c r="D496" s="104"/>
      <c r="E496" s="104"/>
      <c r="F496" s="104"/>
      <c r="G496" s="104"/>
      <c r="H496" s="104"/>
    </row>
    <row r="497" spans="2:8">
      <c r="B497" s="104"/>
      <c r="C497" s="104"/>
      <c r="D497" s="104"/>
      <c r="E497" s="104"/>
      <c r="F497" s="104"/>
      <c r="G497" s="104"/>
      <c r="H497" s="104"/>
    </row>
    <row r="498" spans="2:8">
      <c r="B498" s="104"/>
      <c r="C498" s="104"/>
      <c r="D498" s="104"/>
      <c r="E498" s="104"/>
      <c r="F498" s="104"/>
      <c r="G498" s="104"/>
      <c r="H498" s="104"/>
    </row>
    <row r="499" spans="2:8">
      <c r="B499" s="104"/>
      <c r="C499" s="104"/>
      <c r="D499" s="104"/>
      <c r="E499" s="104"/>
      <c r="F499" s="104"/>
      <c r="G499" s="104"/>
      <c r="H499" s="104"/>
    </row>
    <row r="500" spans="2:8">
      <c r="B500" s="104"/>
      <c r="C500" s="104"/>
      <c r="D500" s="104"/>
      <c r="E500" s="104"/>
      <c r="F500" s="104"/>
      <c r="G500" s="104"/>
      <c r="H500" s="104"/>
    </row>
    <row r="501" spans="2:8">
      <c r="B501" s="104"/>
      <c r="C501" s="104"/>
      <c r="D501" s="104"/>
      <c r="E501" s="104"/>
      <c r="F501" s="104"/>
      <c r="G501" s="104"/>
      <c r="H501" s="104"/>
    </row>
    <row r="502" spans="2:8">
      <c r="B502" s="104"/>
      <c r="C502" s="104"/>
      <c r="D502" s="104"/>
      <c r="E502" s="104"/>
      <c r="F502" s="104"/>
      <c r="G502" s="104"/>
      <c r="H502" s="104"/>
    </row>
    <row r="503" spans="2:8">
      <c r="B503" s="104"/>
      <c r="C503" s="104"/>
      <c r="D503" s="104"/>
      <c r="E503" s="104"/>
      <c r="F503" s="104"/>
      <c r="G503" s="104"/>
      <c r="H503" s="104"/>
    </row>
  </sheetData>
  <mergeCells count="6">
    <mergeCell ref="D1:H3"/>
    <mergeCell ref="A4:C4"/>
    <mergeCell ref="D4:H4"/>
    <mergeCell ref="A5:C5"/>
    <mergeCell ref="D5:G5"/>
    <mergeCell ref="H5:H6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2" orientation="portrait" r:id="rId1"/>
  <headerFooter>
    <oddFooter>&amp;L&amp;"Calibri,Regular"&amp;12&amp;K184782&amp;F&amp;C&amp;"Calibri,Regular"&amp;12&amp;K184782&amp;A&amp;R&amp;"Calibri,Regular"&amp;12&amp;K184782&amp;P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1:V3824"/>
  <sheetViews>
    <sheetView showGridLines="0" topLeftCell="A22" zoomScale="85" zoomScaleNormal="85" zoomScaleSheetLayoutView="70" workbookViewId="0">
      <selection sqref="A1:N1"/>
    </sheetView>
  </sheetViews>
  <sheetFormatPr defaultColWidth="37.7109375" defaultRowHeight="16.5" customHeight="1"/>
  <cols>
    <col min="1" max="1" width="38.140625" style="7" customWidth="1"/>
    <col min="2" max="2" width="14.140625" style="7" customWidth="1"/>
    <col min="3" max="3" width="14.7109375" style="7" customWidth="1"/>
    <col min="4" max="4" width="13.140625" style="7" customWidth="1"/>
    <col min="5" max="5" width="12.140625" style="7" customWidth="1"/>
    <col min="6" max="6" width="15.5703125" style="7" customWidth="1"/>
    <col min="7" max="13" width="13" style="7" customWidth="1"/>
    <col min="14" max="14" width="14" style="7" bestFit="1" customWidth="1"/>
    <col min="15" max="15" width="13.42578125" style="3" bestFit="1" customWidth="1"/>
    <col min="16" max="16" width="11.140625" style="3" bestFit="1" customWidth="1"/>
    <col min="17" max="17" width="10.28515625" style="3" bestFit="1" customWidth="1"/>
    <col min="18" max="18" width="11.140625" style="3" bestFit="1" customWidth="1"/>
    <col min="19" max="19" width="14" style="3" bestFit="1" customWidth="1"/>
    <col min="20" max="20" width="11.140625" style="3" customWidth="1"/>
    <col min="21" max="21" width="10.28515625" style="3" bestFit="1" customWidth="1"/>
    <col min="22" max="22" width="10.7109375" style="3" bestFit="1" customWidth="1"/>
    <col min="23" max="16384" width="37.7109375" style="3"/>
  </cols>
  <sheetData>
    <row r="1" spans="1:15" ht="46.5" customHeight="1" thickBot="1">
      <c r="A1" s="322" t="s">
        <v>48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</row>
    <row r="2" spans="1:15" ht="24" customHeight="1">
      <c r="A2" s="318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</row>
    <row r="3" spans="1:15" ht="21.75" customHeight="1">
      <c r="A3" s="324" t="s">
        <v>53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</row>
    <row r="4" spans="1:15" ht="21.75" customHeight="1" thickBot="1">
      <c r="A4" s="326"/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</row>
    <row r="5" spans="1:15" ht="40.5" customHeight="1" thickBot="1">
      <c r="A5" s="37" t="s">
        <v>39</v>
      </c>
      <c r="B5" s="35">
        <v>41275</v>
      </c>
      <c r="C5" s="35">
        <v>41306</v>
      </c>
      <c r="D5" s="35">
        <v>41334</v>
      </c>
      <c r="E5" s="35">
        <v>41365</v>
      </c>
      <c r="F5" s="35">
        <v>41395</v>
      </c>
      <c r="G5" s="35">
        <v>41426</v>
      </c>
      <c r="H5" s="35">
        <v>41456</v>
      </c>
      <c r="I5" s="35">
        <v>41487</v>
      </c>
      <c r="J5" s="35">
        <v>41518</v>
      </c>
      <c r="K5" s="35">
        <v>41548</v>
      </c>
      <c r="L5" s="35">
        <v>41579</v>
      </c>
      <c r="M5" s="35">
        <v>41609</v>
      </c>
      <c r="N5" s="44" t="s">
        <v>55</v>
      </c>
    </row>
    <row r="6" spans="1:15" s="26" customFormat="1" ht="30" customHeight="1">
      <c r="A6" s="49" t="s">
        <v>30</v>
      </c>
      <c r="B6" s="53">
        <f>Diesel_500!$D119</f>
        <v>0.55762081784385131</v>
      </c>
      <c r="C6" s="46">
        <f>Diesel_500!$D120</f>
        <v>4.2051756007393415</v>
      </c>
      <c r="D6" s="46">
        <f>Diesel_500!$D121</f>
        <v>2.9268292682927077</v>
      </c>
      <c r="E6" s="46">
        <f>Diesel_500!$D122</f>
        <v>0.5601034037052921</v>
      </c>
      <c r="F6" s="46">
        <f>Diesel_500!$D123</f>
        <v>0</v>
      </c>
      <c r="G6" s="46">
        <f>Diesel_500!$D124</f>
        <v>0</v>
      </c>
      <c r="H6" s="46">
        <f>Diesel_500!$D125</f>
        <v>-4.2844901456706719E-2</v>
      </c>
      <c r="I6" s="46">
        <f>Diesel_500!$D126</f>
        <v>-8.5726532361796171E-2</v>
      </c>
      <c r="J6" s="46">
        <f>Diesel_500!$D127</f>
        <v>-4.2900042900018143E-2</v>
      </c>
      <c r="K6" s="46">
        <f>Diesel_500!$D128</f>
        <v>0.12875536480687622</v>
      </c>
      <c r="L6" s="46">
        <f>Diesel_500!$D129</f>
        <v>-4.2863266180892534E-2</v>
      </c>
      <c r="M6" s="46">
        <f>Diesel_500!$D130</f>
        <v>6.1320754716980952</v>
      </c>
      <c r="N6" s="54">
        <f t="shared" ref="N6:N18" si="0">100*(1+B6/100)*(1+C6/100)*(1+D6/100)*(1+E6/100)*(1+F6/100)*(1+G6/100)*(1+H6/100)*(1+I6/100)*(1+J6/100)*(1+K6/100)*(1+L6/100)*(1+M6/100)-100</f>
        <v>15.009293680297361</v>
      </c>
    </row>
    <row r="7" spans="1:15" s="26" customFormat="1" ht="30" customHeight="1">
      <c r="A7" s="50" t="s">
        <v>31</v>
      </c>
      <c r="B7" s="55" t="e">
        <f>#REF!</f>
        <v>#REF!</v>
      </c>
      <c r="C7" s="47" t="e">
        <f>#REF!</f>
        <v>#REF!</v>
      </c>
      <c r="D7" s="47" t="e">
        <f>#REF!</f>
        <v>#REF!</v>
      </c>
      <c r="E7" s="47" t="e">
        <f>#REF!</f>
        <v>#REF!</v>
      </c>
      <c r="F7" s="47" t="e">
        <f>#REF!</f>
        <v>#REF!</v>
      </c>
      <c r="G7" s="47" t="e">
        <f>#REF!</f>
        <v>#REF!</v>
      </c>
      <c r="H7" s="47" t="e">
        <f>#REF!</f>
        <v>#REF!</v>
      </c>
      <c r="I7" s="47" t="e">
        <f>#REF!</f>
        <v>#REF!</v>
      </c>
      <c r="J7" s="47" t="e">
        <f>#REF!</f>
        <v>#REF!</v>
      </c>
      <c r="K7" s="47" t="e">
        <f>#REF!</f>
        <v>#REF!</v>
      </c>
      <c r="L7" s="47" t="e">
        <f>#REF!</f>
        <v>#REF!</v>
      </c>
      <c r="M7" s="47" t="e">
        <f>#REF!</f>
        <v>#REF!</v>
      </c>
      <c r="N7" s="54" t="e">
        <f t="shared" si="0"/>
        <v>#REF!</v>
      </c>
    </row>
    <row r="8" spans="1:15" s="26" customFormat="1" ht="30" customHeight="1">
      <c r="A8" s="50" t="s">
        <v>5</v>
      </c>
      <c r="B8" s="55" t="e">
        <f>#REF!</f>
        <v>#REF!</v>
      </c>
      <c r="C8" s="47" t="e">
        <f>#REF!</f>
        <v>#REF!</v>
      </c>
      <c r="D8" s="47" t="e">
        <f>#REF!</f>
        <v>#REF!</v>
      </c>
      <c r="E8" s="47" t="e">
        <f>#REF!</f>
        <v>#REF!</v>
      </c>
      <c r="F8" s="47" t="e">
        <f>#REF!</f>
        <v>#REF!</v>
      </c>
      <c r="G8" s="47" t="e">
        <f>#REF!</f>
        <v>#REF!</v>
      </c>
      <c r="H8" s="47" t="e">
        <f>#REF!</f>
        <v>#REF!</v>
      </c>
      <c r="I8" s="47" t="e">
        <f>#REF!</f>
        <v>#REF!</v>
      </c>
      <c r="J8" s="47" t="e">
        <f>#REF!</f>
        <v>#REF!</v>
      </c>
      <c r="K8" s="47" t="e">
        <f>#REF!</f>
        <v>#REF!</v>
      </c>
      <c r="L8" s="47" t="e">
        <f>#REF!</f>
        <v>#REF!</v>
      </c>
      <c r="M8" s="47" t="e">
        <f>#REF!</f>
        <v>#REF!</v>
      </c>
      <c r="N8" s="54" t="e">
        <f t="shared" si="0"/>
        <v>#REF!</v>
      </c>
    </row>
    <row r="9" spans="1:15" s="26" customFormat="1" ht="30" customHeight="1">
      <c r="A9" s="50" t="s">
        <v>6</v>
      </c>
      <c r="B9" s="55">
        <f>'Despesas Indireta'!D119</f>
        <v>0</v>
      </c>
      <c r="C9" s="47">
        <f>'Despesas Indireta'!D120</f>
        <v>0</v>
      </c>
      <c r="D9" s="47">
        <f>'Despesas Indireta'!D121</f>
        <v>0</v>
      </c>
      <c r="E9" s="47">
        <f>'Despesas Indireta'!D122</f>
        <v>0</v>
      </c>
      <c r="F9" s="47">
        <f>'Despesas Indireta'!D123</f>
        <v>3.5681866461610534</v>
      </c>
      <c r="G9" s="47">
        <f>'Despesas Indireta'!$D124</f>
        <v>0</v>
      </c>
      <c r="H9" s="47">
        <f>'Despesas Indireta'!$D125</f>
        <v>1.9024615403242517</v>
      </c>
      <c r="I9" s="47">
        <f>'Despesas Indireta'!$D126</f>
        <v>3.4587157030774307E-2</v>
      </c>
      <c r="J9" s="47">
        <f>'Despesas Indireta'!$D127</f>
        <v>0.40340301944625789</v>
      </c>
      <c r="K9" s="47">
        <f>'Despesas Indireta'!$D128</f>
        <v>6.8670006890658719E-2</v>
      </c>
      <c r="L9" s="47">
        <f>'Despesas Indireta'!$D129</f>
        <v>0.12666005912036482</v>
      </c>
      <c r="M9" s="47">
        <f>'Despesas Indireta'!$D130</f>
        <v>-5.1720844378766451E-3</v>
      </c>
      <c r="N9" s="54">
        <f t="shared" si="0"/>
        <v>6.2025779259944187</v>
      </c>
      <c r="O9" s="27"/>
    </row>
    <row r="10" spans="1:15" s="26" customFormat="1" ht="30" customHeight="1">
      <c r="A10" s="50" t="s">
        <v>8</v>
      </c>
      <c r="B10" s="55">
        <f>'Cav. Mecânico'!D119</f>
        <v>0.18528812303131303</v>
      </c>
      <c r="C10" s="47">
        <f>'Cav. Mecânico'!D120</f>
        <v>0.43153936255471148</v>
      </c>
      <c r="D10" s="47">
        <f>'Cav. Mecânico'!D121</f>
        <v>0</v>
      </c>
      <c r="E10" s="47">
        <f>'Cav. Mecânico'!D122</f>
        <v>0</v>
      </c>
      <c r="F10" s="47">
        <f>'Cav. Mecânico'!D123</f>
        <v>0</v>
      </c>
      <c r="G10" s="47">
        <f>'Cav. Mecânico'!$D124</f>
        <v>0</v>
      </c>
      <c r="H10" s="47">
        <f>'Cav. Mecânico'!$D125</f>
        <v>0.24553434411638264</v>
      </c>
      <c r="I10" s="47">
        <f>'Cav. Mecânico'!$D126</f>
        <v>0.70418223011450287</v>
      </c>
      <c r="J10" s="47">
        <f>'Cav. Mecânico'!$D127</f>
        <v>0.18241517694272957</v>
      </c>
      <c r="K10" s="47">
        <f>'Cav. Mecânico'!$D128</f>
        <v>0.12138868657440849</v>
      </c>
      <c r="L10" s="47">
        <f>'Cav. Mecânico'!$D129</f>
        <v>0</v>
      </c>
      <c r="M10" s="47">
        <f>'Cav. Mecânico'!$D130</f>
        <v>0</v>
      </c>
      <c r="N10" s="54">
        <f t="shared" si="0"/>
        <v>1.8837625841516967</v>
      </c>
    </row>
    <row r="11" spans="1:15" s="26" customFormat="1" ht="30" customHeight="1">
      <c r="A11" s="50" t="s">
        <v>33</v>
      </c>
      <c r="B11" s="55">
        <f>Motorista!D119</f>
        <v>0</v>
      </c>
      <c r="C11" s="47">
        <f>Motorista!D120</f>
        <v>0</v>
      </c>
      <c r="D11" s="47">
        <f>Motorista!D121</f>
        <v>0</v>
      </c>
      <c r="E11" s="47">
        <f>Motorista!D122</f>
        <v>0</v>
      </c>
      <c r="F11" s="47">
        <f>Motorista!D123</f>
        <v>9.0000000000000071</v>
      </c>
      <c r="G11" s="47">
        <f>Motorista!$D124</f>
        <v>0</v>
      </c>
      <c r="H11" s="47">
        <f>Motorista!$D125</f>
        <v>0</v>
      </c>
      <c r="I11" s="47">
        <f>Motorista!$D126</f>
        <v>0</v>
      </c>
      <c r="J11" s="47">
        <f>Motorista!$D127</f>
        <v>0.91743119266054496</v>
      </c>
      <c r="K11" s="47">
        <f>Motorista!$D128</f>
        <v>0</v>
      </c>
      <c r="L11" s="47">
        <f>Motorista!$D128</f>
        <v>0</v>
      </c>
      <c r="M11" s="47">
        <f>Motorista!$D128</f>
        <v>0</v>
      </c>
      <c r="N11" s="54">
        <f t="shared" si="0"/>
        <v>10.000000000000014</v>
      </c>
    </row>
    <row r="12" spans="1:15" s="26" customFormat="1" ht="30" customHeight="1">
      <c r="A12" s="50" t="s">
        <v>32</v>
      </c>
      <c r="B12" s="55">
        <f>Semirreboque!D120</f>
        <v>0</v>
      </c>
      <c r="C12" s="47">
        <f>Semirreboque!D121</f>
        <v>0</v>
      </c>
      <c r="D12" s="47">
        <f>Semirreboque!D122</f>
        <v>0</v>
      </c>
      <c r="E12" s="47">
        <f>Semirreboque!D123</f>
        <v>0</v>
      </c>
      <c r="F12" s="47">
        <f>Semirreboque!D124</f>
        <v>0</v>
      </c>
      <c r="G12" s="47">
        <f>Semirreboque!$D125</f>
        <v>0</v>
      </c>
      <c r="H12" s="47">
        <f>Semirreboque!$D126</f>
        <v>0</v>
      </c>
      <c r="I12" s="47">
        <f>Semirreboque!$D127</f>
        <v>0</v>
      </c>
      <c r="J12" s="47">
        <f>Semirreboque!$D128</f>
        <v>0</v>
      </c>
      <c r="K12" s="47">
        <f>Semirreboque!$D129</f>
        <v>0</v>
      </c>
      <c r="L12" s="47">
        <f>Semirreboque!$D130</f>
        <v>0</v>
      </c>
      <c r="M12" s="47">
        <f>Semirreboque!$D130</f>
        <v>0</v>
      </c>
      <c r="N12" s="54">
        <f t="shared" si="0"/>
        <v>0</v>
      </c>
      <c r="O12" s="28"/>
    </row>
    <row r="13" spans="1:15" s="26" customFormat="1" ht="30" customHeight="1">
      <c r="A13" s="50" t="s">
        <v>28</v>
      </c>
      <c r="B13" s="55">
        <f>Rodoar!D119</f>
        <v>2.6086956521739202</v>
      </c>
      <c r="C13" s="47">
        <f>Rodoar!D120</f>
        <v>0</v>
      </c>
      <c r="D13" s="47">
        <f>Rodoar!D121</f>
        <v>0</v>
      </c>
      <c r="E13" s="47">
        <f>Rodoar!D122</f>
        <v>0</v>
      </c>
      <c r="F13" s="47">
        <f>Rodoar!D123</f>
        <v>0</v>
      </c>
      <c r="G13" s="47">
        <f>Rodoar!$D124</f>
        <v>0</v>
      </c>
      <c r="H13" s="47">
        <f>Rodoar!$D125</f>
        <v>0</v>
      </c>
      <c r="I13" s="47">
        <f>Rodoar!$D126</f>
        <v>0</v>
      </c>
      <c r="J13" s="47">
        <f>Rodoar!$D127</f>
        <v>0</v>
      </c>
      <c r="K13" s="47">
        <f>Rodoar!$D128</f>
        <v>0</v>
      </c>
      <c r="L13" s="47">
        <f>Rodoar!$D129</f>
        <v>0</v>
      </c>
      <c r="M13" s="47">
        <f>Rodoar!$D129</f>
        <v>0</v>
      </c>
      <c r="N13" s="54">
        <f t="shared" si="0"/>
        <v>2.6086956521739211</v>
      </c>
      <c r="O13" s="28"/>
    </row>
    <row r="14" spans="1:15" s="26" customFormat="1" ht="30" customHeight="1">
      <c r="A14" s="50" t="s">
        <v>34</v>
      </c>
      <c r="B14" s="55">
        <f>Pneu!D119</f>
        <v>-0.71042116811507183</v>
      </c>
      <c r="C14" s="47">
        <f>Pneu!D120</f>
        <v>-0.88569206127577793</v>
      </c>
      <c r="D14" s="47">
        <f>Pneu!D121</f>
        <v>0.87659049610895323</v>
      </c>
      <c r="E14" s="47">
        <f>Pneu!D122</f>
        <v>3.3526006833195954</v>
      </c>
      <c r="F14" s="47">
        <f>Pneu!D123</f>
        <v>-2.2544907810398085</v>
      </c>
      <c r="G14" s="47">
        <f>Pneu!$D124</f>
        <v>0</v>
      </c>
      <c r="H14" s="47">
        <f>Pneu!$D125</f>
        <v>1.4416576938334202</v>
      </c>
      <c r="I14" s="47">
        <f>Pneu!$D126</f>
        <v>2.9511758614704231</v>
      </c>
      <c r="J14" s="47">
        <f>Pneu!$D127</f>
        <v>0</v>
      </c>
      <c r="K14" s="47">
        <f>Pneu!$D128</f>
        <v>1.6504892940580218</v>
      </c>
      <c r="L14" s="47">
        <f>Pneu!$D129</f>
        <v>0.1713964328951656</v>
      </c>
      <c r="M14" s="47">
        <f>Pneu!$D129</f>
        <v>0.1713964328951656</v>
      </c>
      <c r="N14" s="54">
        <f t="shared" si="0"/>
        <v>6.8299974026863595</v>
      </c>
      <c r="O14" s="28"/>
    </row>
    <row r="15" spans="1:15" s="29" customFormat="1" ht="30" customHeight="1">
      <c r="A15" s="51" t="s">
        <v>35</v>
      </c>
      <c r="B15" s="56">
        <f>Recapagem!D119</f>
        <v>6.5098312135654757</v>
      </c>
      <c r="C15" s="36">
        <f>Recapagem!D120</f>
        <v>0</v>
      </c>
      <c r="D15" s="36">
        <f>Recapagem!D121</f>
        <v>2.2025057173369333E-2</v>
      </c>
      <c r="E15" s="36">
        <f>Recapagem!D122</f>
        <v>0</v>
      </c>
      <c r="F15" s="36">
        <f>Recapagem!D123</f>
        <v>1.4973740902901822</v>
      </c>
      <c r="G15" s="36">
        <f>Recapagem!$D124</f>
        <v>0</v>
      </c>
      <c r="H15" s="36">
        <f>Recapagem!$D125</f>
        <v>0</v>
      </c>
      <c r="I15" s="36">
        <f>Recapagem!$D126</f>
        <v>0</v>
      </c>
      <c r="J15" s="36">
        <f>Recapagem!$D127</f>
        <v>0</v>
      </c>
      <c r="K15" s="36">
        <f>Recapagem!$D128</f>
        <v>0</v>
      </c>
      <c r="L15" s="36">
        <f>Recapagem!$D129</f>
        <v>0</v>
      </c>
      <c r="M15" s="36">
        <f>Recapagem!$D129</f>
        <v>0</v>
      </c>
      <c r="N15" s="54">
        <f t="shared" si="0"/>
        <v>8.1284919477492963</v>
      </c>
    </row>
    <row r="16" spans="1:15" s="26" customFormat="1" ht="39.75" customHeight="1">
      <c r="A16" s="50" t="s">
        <v>36</v>
      </c>
      <c r="B16" s="55">
        <f>Lavagem!D119</f>
        <v>0</v>
      </c>
      <c r="C16" s="47">
        <f>Lavagem!D120</f>
        <v>0</v>
      </c>
      <c r="D16" s="47">
        <f>Lavagem!D121</f>
        <v>0</v>
      </c>
      <c r="E16" s="47">
        <f>Lavagem!D122</f>
        <v>1.2269938650306678</v>
      </c>
      <c r="F16" s="47">
        <f>Lavagem!$D123</f>
        <v>0</v>
      </c>
      <c r="G16" s="47">
        <f>Lavagem!$D124</f>
        <v>0</v>
      </c>
      <c r="H16" s="47">
        <f>Lavagem!$D125</f>
        <v>0</v>
      </c>
      <c r="I16" s="47">
        <f>Lavagem!$D126</f>
        <v>0</v>
      </c>
      <c r="J16" s="47">
        <f>Lavagem!$D127</f>
        <v>0</v>
      </c>
      <c r="K16" s="47">
        <f>Lavagem!$D128</f>
        <v>0</v>
      </c>
      <c r="L16" s="47">
        <f>Lavagem!$D129</f>
        <v>0</v>
      </c>
      <c r="M16" s="47">
        <f>Lavagem!$D130</f>
        <v>0</v>
      </c>
      <c r="N16" s="54">
        <f t="shared" si="0"/>
        <v>1.2269938650306642</v>
      </c>
    </row>
    <row r="17" spans="1:22" s="26" customFormat="1" ht="30" customHeight="1">
      <c r="A17" s="49" t="s">
        <v>29</v>
      </c>
      <c r="B17" s="53">
        <f>Seguros!D119</f>
        <v>0.15513617676758962</v>
      </c>
      <c r="C17" s="46">
        <f>Seguros!D120</f>
        <v>0.36142371352660962</v>
      </c>
      <c r="D17" s="46">
        <f>Seguros!D121</f>
        <v>0</v>
      </c>
      <c r="E17" s="46">
        <f>Seguros!D122</f>
        <v>0</v>
      </c>
      <c r="F17" s="46">
        <f>Seguros!D123</f>
        <v>0</v>
      </c>
      <c r="G17" s="46">
        <f>Seguros!$D124</f>
        <v>0</v>
      </c>
      <c r="H17" s="46">
        <f>Seguros!$D125</f>
        <v>0.2057840838233016</v>
      </c>
      <c r="I17" s="46">
        <f>Seguros!$D126</f>
        <v>0.59041426241137618</v>
      </c>
      <c r="J17" s="46">
        <f>Seguros!$D127</f>
        <v>0.15311708681464697</v>
      </c>
      <c r="K17" s="46">
        <f>Seguros!$D128</f>
        <v>0.10192199788248146</v>
      </c>
      <c r="L17" s="46">
        <f>Seguros!$D129</f>
        <v>0</v>
      </c>
      <c r="M17" s="46">
        <f>Seguros!$D130</f>
        <v>0</v>
      </c>
      <c r="N17" s="54">
        <f t="shared" si="0"/>
        <v>1.5772177971371235</v>
      </c>
    </row>
    <row r="18" spans="1:22" s="26" customFormat="1" ht="30" customHeight="1" thickBot="1">
      <c r="A18" s="52" t="s">
        <v>37</v>
      </c>
      <c r="B18" s="57">
        <f>Manutenção!D119</f>
        <v>0.74000000000000732</v>
      </c>
      <c r="C18" s="48">
        <f>Manutenção!D120</f>
        <v>0.9200000000000097</v>
      </c>
      <c r="D18" s="48">
        <f>Manutenção!D121</f>
        <v>0.52000000000000934</v>
      </c>
      <c r="E18" s="48">
        <f>Manutenção!D122</f>
        <v>0.60000000000000053</v>
      </c>
      <c r="F18" s="48">
        <f>Manutenção!D123</f>
        <v>0.59000000000000163</v>
      </c>
      <c r="G18" s="48">
        <f>Manutenção!$D124</f>
        <v>0.35000000000000586</v>
      </c>
      <c r="H18" s="48">
        <f>Manutenção!$D125</f>
        <v>0.27999999999999137</v>
      </c>
      <c r="I18" s="48">
        <f>Manutenção!$D126</f>
        <v>-0.12999999999999678</v>
      </c>
      <c r="J18" s="48">
        <f>Manutenção!$D127</f>
        <v>0.16000000000000458</v>
      </c>
      <c r="K18" s="48">
        <f>Manutenção!$D128</f>
        <v>0.26999999999999247</v>
      </c>
      <c r="L18" s="48">
        <f>Manutenção!$D129</f>
        <v>0.60999999999999943</v>
      </c>
      <c r="M18" s="48">
        <f>Manutenção!$D130</f>
        <v>0.54000000000000714</v>
      </c>
      <c r="N18" s="58">
        <f t="shared" si="0"/>
        <v>5.5836253158919931</v>
      </c>
    </row>
    <row r="19" spans="1:22" s="30" customFormat="1" ht="30" customHeight="1">
      <c r="A19" s="34" t="s">
        <v>18</v>
      </c>
      <c r="B19" s="34"/>
      <c r="C19" s="38"/>
      <c r="D19" s="38"/>
      <c r="E19" s="38"/>
      <c r="F19" s="38"/>
      <c r="G19" s="39"/>
      <c r="H19" s="39"/>
      <c r="I19" s="39"/>
      <c r="J19" s="39"/>
      <c r="K19" s="39"/>
      <c r="L19" s="39"/>
      <c r="M19" s="39"/>
      <c r="N19" s="40"/>
    </row>
    <row r="20" spans="1:22" ht="22.5" customHeight="1">
      <c r="A20" s="3"/>
      <c r="B20" s="3"/>
      <c r="C20" s="3"/>
      <c r="D20" s="3"/>
      <c r="E20" s="3"/>
      <c r="F20" s="3"/>
      <c r="G20" s="1"/>
      <c r="H20" s="1"/>
      <c r="I20" s="1"/>
      <c r="J20" s="1"/>
      <c r="K20" s="1"/>
      <c r="L20" s="1"/>
      <c r="M20" s="1"/>
      <c r="N20" s="2"/>
    </row>
    <row r="21" spans="1:22" ht="41.25" customHeight="1">
      <c r="A21" s="332" t="s">
        <v>49</v>
      </c>
      <c r="B21" s="333"/>
      <c r="C21" s="333"/>
      <c r="D21" s="333"/>
      <c r="E21" s="333"/>
      <c r="F21" s="333"/>
      <c r="G21" s="333"/>
      <c r="H21" s="333"/>
      <c r="I21" s="333"/>
      <c r="J21" s="333"/>
      <c r="K21" s="333"/>
      <c r="L21" s="333"/>
      <c r="M21" s="333"/>
      <c r="N21" s="333"/>
      <c r="O21" s="43"/>
      <c r="P21" s="43"/>
      <c r="Q21" s="43"/>
      <c r="R21" s="43"/>
      <c r="S21" s="43"/>
      <c r="T21" s="43"/>
      <c r="U21" s="43"/>
      <c r="V21" s="43"/>
    </row>
    <row r="22" spans="1:22" ht="7.5" customHeight="1">
      <c r="A22" s="320"/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</row>
    <row r="23" spans="1:22" ht="12.75" customHeight="1">
      <c r="A23" s="328" t="s">
        <v>38</v>
      </c>
      <c r="B23" s="329"/>
      <c r="C23" s="329"/>
      <c r="D23" s="329"/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42"/>
      <c r="P23" s="42"/>
      <c r="Q23" s="42"/>
      <c r="R23" s="42"/>
      <c r="S23" s="42"/>
      <c r="T23" s="42"/>
      <c r="U23" s="42"/>
      <c r="V23" s="42"/>
    </row>
    <row r="24" spans="1:22" ht="16.5" customHeight="1" thickBot="1">
      <c r="A24" s="330"/>
      <c r="B24" s="331"/>
      <c r="C24" s="331"/>
      <c r="D24" s="331"/>
      <c r="E24" s="331"/>
      <c r="F24" s="331"/>
      <c r="G24" s="331"/>
      <c r="H24" s="331"/>
      <c r="I24" s="331"/>
      <c r="J24" s="331"/>
      <c r="K24" s="331"/>
      <c r="L24" s="331"/>
      <c r="M24" s="331"/>
      <c r="N24" s="331"/>
      <c r="O24" s="42"/>
      <c r="P24" s="42"/>
      <c r="Q24" s="42"/>
      <c r="R24" s="42"/>
      <c r="S24" s="42"/>
      <c r="T24" s="42"/>
      <c r="U24" s="42"/>
      <c r="V24" s="42"/>
    </row>
    <row r="25" spans="1:22" ht="36" customHeight="1" thickBot="1">
      <c r="A25" s="4" t="s">
        <v>39</v>
      </c>
      <c r="B25" s="31">
        <v>41275</v>
      </c>
      <c r="C25" s="31">
        <v>41306</v>
      </c>
      <c r="D25" s="31">
        <v>41334</v>
      </c>
      <c r="E25" s="31">
        <v>41365</v>
      </c>
      <c r="F25" s="31">
        <v>41395</v>
      </c>
      <c r="G25" s="31">
        <v>41426</v>
      </c>
      <c r="H25" s="31">
        <v>41456</v>
      </c>
      <c r="I25" s="31">
        <v>41487</v>
      </c>
      <c r="J25" s="31">
        <v>41518</v>
      </c>
      <c r="K25" s="31">
        <v>41548</v>
      </c>
      <c r="L25" s="31">
        <v>41579</v>
      </c>
      <c r="M25" s="31">
        <v>41609</v>
      </c>
      <c r="N25" s="45" t="s">
        <v>52</v>
      </c>
    </row>
    <row r="26" spans="1:22" ht="22.5" customHeight="1">
      <c r="A26" s="14" t="s">
        <v>30</v>
      </c>
      <c r="B26" s="32">
        <f>Diesel_500!$D$119</f>
        <v>0.55762081784385131</v>
      </c>
      <c r="C26" s="32">
        <f>Diesel_500!$D$120</f>
        <v>4.2051756007393415</v>
      </c>
      <c r="D26" s="32">
        <f>Diesel_500!$D$121</f>
        <v>2.9268292682927077</v>
      </c>
      <c r="E26" s="32">
        <f>Diesel_500!$D$122</f>
        <v>0.5601034037052921</v>
      </c>
      <c r="F26" s="32">
        <f>Diesel_500!$D$123</f>
        <v>0</v>
      </c>
      <c r="G26" s="32">
        <f>Diesel_500!$D$124</f>
        <v>0</v>
      </c>
      <c r="H26" s="32">
        <f>Diesel_500!$D$125</f>
        <v>-4.2844901456706719E-2</v>
      </c>
      <c r="I26" s="32">
        <f>Diesel_500!$D$126</f>
        <v>-8.5726532361796171E-2</v>
      </c>
      <c r="J26" s="32">
        <f>Diesel_500!$D$127</f>
        <v>-4.2900042900018143E-2</v>
      </c>
      <c r="K26" s="32">
        <f>Diesel_500!$D$128</f>
        <v>0.12875536480687622</v>
      </c>
      <c r="L26" s="32">
        <f>Diesel_500!$D$129</f>
        <v>-4.2863266180892534E-2</v>
      </c>
      <c r="M26" s="32">
        <f>Diesel_500!$D$130</f>
        <v>6.1320754716980952</v>
      </c>
      <c r="N26" s="41">
        <f>100*(1+B26/100)*(1+C26/100)*(1+D26/100)*(1+E26/100)*(1+F26/100)*(1+G26/100)*(1+H26/100)*(1+I26/100)*(1+J26/100)*(1+K26/100)*(1+L26/100)*(1+M26/100)-100</f>
        <v>15.009293680297361</v>
      </c>
    </row>
    <row r="27" spans="1:22" ht="22.5" customHeight="1">
      <c r="A27" s="6" t="s">
        <v>31</v>
      </c>
      <c r="B27" s="32" t="e">
        <f>#REF!</f>
        <v>#REF!</v>
      </c>
      <c r="C27" s="32" t="e">
        <f>#REF!</f>
        <v>#REF!</v>
      </c>
      <c r="D27" s="32" t="e">
        <f>#REF!</f>
        <v>#REF!</v>
      </c>
      <c r="E27" s="32" t="e">
        <f>#REF!</f>
        <v>#REF!</v>
      </c>
      <c r="F27" s="32" t="e">
        <f>#REF!</f>
        <v>#REF!</v>
      </c>
      <c r="G27" s="32" t="e">
        <f>#REF!</f>
        <v>#REF!</v>
      </c>
      <c r="H27" s="32" t="e">
        <f>#REF!</f>
        <v>#REF!</v>
      </c>
      <c r="I27" s="32" t="e">
        <f>#REF!</f>
        <v>#REF!</v>
      </c>
      <c r="J27" s="32" t="e">
        <f>#REF!</f>
        <v>#REF!</v>
      </c>
      <c r="K27" s="32" t="e">
        <f>#REF!</f>
        <v>#REF!</v>
      </c>
      <c r="L27" s="32" t="e">
        <f>#REF!</f>
        <v>#REF!</v>
      </c>
      <c r="M27" s="32" t="e">
        <f>#REF!</f>
        <v>#REF!</v>
      </c>
      <c r="N27" s="41" t="e">
        <f t="shared" ref="N27:N38" si="1">100*(1+B27/100)*(1+C27/100)*(1+D27/100)*(1+E27/100)*(1+F27/100)*(1+G27/100)*(1+H27/100)*(1+I27/100)*(1+J27/100)*(1+K27/100)*(1+L27/100)*(1+M27/100)-100</f>
        <v>#REF!</v>
      </c>
    </row>
    <row r="28" spans="1:22" ht="22.5" customHeight="1">
      <c r="A28" s="6" t="s">
        <v>5</v>
      </c>
      <c r="B28" s="32" t="e">
        <f>#REF!</f>
        <v>#REF!</v>
      </c>
      <c r="C28" s="32" t="e">
        <f>#REF!</f>
        <v>#REF!</v>
      </c>
      <c r="D28" s="32" t="e">
        <f>#REF!</f>
        <v>#REF!</v>
      </c>
      <c r="E28" s="32" t="e">
        <f>#REF!</f>
        <v>#REF!</v>
      </c>
      <c r="F28" s="32" t="e">
        <f>#REF!</f>
        <v>#REF!</v>
      </c>
      <c r="G28" s="32" t="e">
        <f>#REF!</f>
        <v>#REF!</v>
      </c>
      <c r="H28" s="32" t="e">
        <f>#REF!</f>
        <v>#REF!</v>
      </c>
      <c r="I28" s="32" t="e">
        <f>#REF!</f>
        <v>#REF!</v>
      </c>
      <c r="J28" s="32" t="e">
        <f>#REF!</f>
        <v>#REF!</v>
      </c>
      <c r="K28" s="32" t="e">
        <f>#REF!</f>
        <v>#REF!</v>
      </c>
      <c r="L28" s="32" t="e">
        <f>#REF!</f>
        <v>#REF!</v>
      </c>
      <c r="M28" s="32" t="e">
        <f>#REF!</f>
        <v>#REF!</v>
      </c>
      <c r="N28" s="41" t="e">
        <f t="shared" si="1"/>
        <v>#REF!</v>
      </c>
    </row>
    <row r="29" spans="1:22" ht="22.5" customHeight="1">
      <c r="A29" s="6" t="s">
        <v>6</v>
      </c>
      <c r="B29" s="32">
        <f>'Despesas Indireta'!$D$119</f>
        <v>0</v>
      </c>
      <c r="C29" s="32">
        <f>'Despesas Indireta'!$D$120</f>
        <v>0</v>
      </c>
      <c r="D29" s="32">
        <f>'Despesas Indireta'!$D$121</f>
        <v>0</v>
      </c>
      <c r="E29" s="32">
        <f>'Despesas Indireta'!$D$122</f>
        <v>0</v>
      </c>
      <c r="F29" s="32">
        <f>'Despesas Indireta'!$D$123</f>
        <v>3.5681866461610534</v>
      </c>
      <c r="G29" s="32">
        <f>'Despesas Indireta'!$D$124</f>
        <v>0</v>
      </c>
      <c r="H29" s="32">
        <f>'Despesas Indireta'!$D$125</f>
        <v>1.9024615403242517</v>
      </c>
      <c r="I29" s="32">
        <f>'Despesas Indireta'!$D$126</f>
        <v>3.4587157030774307E-2</v>
      </c>
      <c r="J29" s="32">
        <f>'Despesas Indireta'!$D$127</f>
        <v>0.40340301944625789</v>
      </c>
      <c r="K29" s="32">
        <f>'Despesas Indireta'!$D$128</f>
        <v>6.8670006890658719E-2</v>
      </c>
      <c r="L29" s="32">
        <f>'Despesas Indireta'!$D$129</f>
        <v>0.12666005912036482</v>
      </c>
      <c r="M29" s="32">
        <f>'Despesas Indireta'!$D$130</f>
        <v>-5.1720844378766451E-3</v>
      </c>
      <c r="N29" s="41">
        <f t="shared" si="1"/>
        <v>6.2025779259944187</v>
      </c>
    </row>
    <row r="30" spans="1:22" ht="22.5" customHeight="1">
      <c r="A30" s="6" t="s">
        <v>8</v>
      </c>
      <c r="B30" s="32">
        <f>'Cav. Mecânico'!$D119</f>
        <v>0.18528812303131303</v>
      </c>
      <c r="C30" s="32">
        <f>'Cav. Mecânico'!$D120</f>
        <v>0.43153936255471148</v>
      </c>
      <c r="D30" s="32">
        <f>'Cav. Mecânico'!$D121</f>
        <v>0</v>
      </c>
      <c r="E30" s="32">
        <f>'Cav. Mecânico'!$D122</f>
        <v>0</v>
      </c>
      <c r="F30" s="32">
        <f>'Cav. Mecânico'!$D123</f>
        <v>0</v>
      </c>
      <c r="G30" s="32">
        <f>'Cav. Mecânico'!$D124</f>
        <v>0</v>
      </c>
      <c r="H30" s="32">
        <f>'Cav. Mecânico'!$D125</f>
        <v>0.24553434411638264</v>
      </c>
      <c r="I30" s="32">
        <f>'Cav. Mecânico'!$D126</f>
        <v>0.70418223011450287</v>
      </c>
      <c r="J30" s="32">
        <f>'Cav. Mecânico'!$D127</f>
        <v>0.18241517694272957</v>
      </c>
      <c r="K30" s="32">
        <f>'Cav. Mecânico'!$D128</f>
        <v>0.12138868657440849</v>
      </c>
      <c r="L30" s="32">
        <f>'Cav. Mecânico'!$D129</f>
        <v>0</v>
      </c>
      <c r="M30" s="32">
        <f>'Cav. Mecânico'!$D130</f>
        <v>0</v>
      </c>
      <c r="N30" s="41">
        <f t="shared" si="1"/>
        <v>1.8837625841516967</v>
      </c>
    </row>
    <row r="31" spans="1:22" ht="22.5" customHeight="1">
      <c r="A31" s="6" t="s">
        <v>33</v>
      </c>
      <c r="B31" s="32">
        <f>Motorista!$D$119</f>
        <v>0</v>
      </c>
      <c r="C31" s="32">
        <f>Motorista!$D$120</f>
        <v>0</v>
      </c>
      <c r="D31" s="32">
        <f>Motorista!$D$121</f>
        <v>0</v>
      </c>
      <c r="E31" s="32">
        <f>Motorista!$D$122</f>
        <v>0</v>
      </c>
      <c r="F31" s="32">
        <f>Motorista!$D$123</f>
        <v>9.0000000000000071</v>
      </c>
      <c r="G31" s="32">
        <f>Motorista!$D$124</f>
        <v>0</v>
      </c>
      <c r="H31" s="32">
        <f>Motorista!$D$125</f>
        <v>0</v>
      </c>
      <c r="I31" s="32">
        <f>Motorista!$D$126</f>
        <v>0</v>
      </c>
      <c r="J31" s="32">
        <f>Motorista!$D$127</f>
        <v>0.91743119266054496</v>
      </c>
      <c r="K31" s="32">
        <f>Motorista!$D$128</f>
        <v>0</v>
      </c>
      <c r="L31" s="32">
        <f>Motorista!$D$129</f>
        <v>0</v>
      </c>
      <c r="M31" s="32">
        <f>Motorista!$D$130</f>
        <v>0</v>
      </c>
      <c r="N31" s="41">
        <f t="shared" si="1"/>
        <v>10.000000000000014</v>
      </c>
    </row>
    <row r="32" spans="1:22" ht="22.5" customHeight="1">
      <c r="A32" s="6" t="s">
        <v>32</v>
      </c>
      <c r="B32" s="32">
        <f>Semirreboque!$D$120</f>
        <v>0</v>
      </c>
      <c r="C32" s="32">
        <f>Semirreboque!$D$121</f>
        <v>0</v>
      </c>
      <c r="D32" s="32">
        <f>Semirreboque!$D$122</f>
        <v>0</v>
      </c>
      <c r="E32" s="32">
        <f>Semirreboque!$D$123</f>
        <v>0</v>
      </c>
      <c r="F32" s="32">
        <f>Semirreboque!$D$124</f>
        <v>0</v>
      </c>
      <c r="G32" s="32">
        <f>Semirreboque!$D$125</f>
        <v>0</v>
      </c>
      <c r="H32" s="32">
        <f>Semirreboque!$D$126</f>
        <v>0</v>
      </c>
      <c r="I32" s="32">
        <f>Semirreboque!$D$127</f>
        <v>0</v>
      </c>
      <c r="J32" s="32">
        <f>Semirreboque!$D$128</f>
        <v>0</v>
      </c>
      <c r="K32" s="32">
        <f>Semirreboque!$D$129</f>
        <v>0</v>
      </c>
      <c r="L32" s="32">
        <f>Semirreboque!$D$130</f>
        <v>0</v>
      </c>
      <c r="M32" s="32">
        <f>Semirreboque!$D$131</f>
        <v>0</v>
      </c>
      <c r="N32" s="41">
        <f t="shared" si="1"/>
        <v>0</v>
      </c>
    </row>
    <row r="33" spans="1:14" ht="22.5" customHeight="1">
      <c r="A33" s="6" t="s">
        <v>28</v>
      </c>
      <c r="B33" s="32">
        <f>Rodoar!$D$119</f>
        <v>2.6086956521739202</v>
      </c>
      <c r="C33" s="32">
        <f>Rodoar!$D$120</f>
        <v>0</v>
      </c>
      <c r="D33" s="32">
        <f>Rodoar!$D$121</f>
        <v>0</v>
      </c>
      <c r="E33" s="32">
        <f>Rodoar!$D$122</f>
        <v>0</v>
      </c>
      <c r="F33" s="32">
        <f>Rodoar!$D$123</f>
        <v>0</v>
      </c>
      <c r="G33" s="32">
        <f>Rodoar!$D$124</f>
        <v>0</v>
      </c>
      <c r="H33" s="32">
        <f>Rodoar!$D$125</f>
        <v>0</v>
      </c>
      <c r="I33" s="32">
        <f>Rodoar!$D$126</f>
        <v>0</v>
      </c>
      <c r="J33" s="32">
        <f>Rodoar!$D$127</f>
        <v>0</v>
      </c>
      <c r="K33" s="32">
        <f>Rodoar!$D$128</f>
        <v>0</v>
      </c>
      <c r="L33" s="32">
        <f>Rodoar!$D$129</f>
        <v>0</v>
      </c>
      <c r="M33" s="32">
        <f>Rodoar!$D$130</f>
        <v>0</v>
      </c>
      <c r="N33" s="41">
        <f t="shared" si="1"/>
        <v>2.6086956521739211</v>
      </c>
    </row>
    <row r="34" spans="1:14" ht="22.5" customHeight="1">
      <c r="A34" s="6" t="s">
        <v>34</v>
      </c>
      <c r="B34" s="32">
        <f>Pneu!$D$119</f>
        <v>-0.71042116811507183</v>
      </c>
      <c r="C34" s="32">
        <f>Pneu!$D$120</f>
        <v>-0.88569206127577793</v>
      </c>
      <c r="D34" s="32">
        <f>Pneu!$D$121</f>
        <v>0.87659049610895323</v>
      </c>
      <c r="E34" s="32">
        <f>Pneu!$D$122</f>
        <v>3.3526006833195954</v>
      </c>
      <c r="F34" s="32">
        <f>Pneu!$D$123</f>
        <v>-2.2544907810398085</v>
      </c>
      <c r="G34" s="32">
        <f>Pneu!$D$124</f>
        <v>0</v>
      </c>
      <c r="H34" s="32">
        <f>Pneu!$D$125</f>
        <v>1.4416576938334202</v>
      </c>
      <c r="I34" s="32">
        <f>Pneu!$D$126</f>
        <v>2.9511758614704231</v>
      </c>
      <c r="J34" s="32">
        <f>Pneu!$D$127</f>
        <v>0</v>
      </c>
      <c r="K34" s="32">
        <f>Pneu!$D$128</f>
        <v>1.6504892940580218</v>
      </c>
      <c r="L34" s="32">
        <f>Pneu!$D$129</f>
        <v>0.1713964328951656</v>
      </c>
      <c r="M34" s="32">
        <f>Pneu!$D$130</f>
        <v>0</v>
      </c>
      <c r="N34" s="41">
        <f t="shared" si="1"/>
        <v>6.6472078925761906</v>
      </c>
    </row>
    <row r="35" spans="1:14" ht="22.5" customHeight="1">
      <c r="A35" s="8" t="s">
        <v>35</v>
      </c>
      <c r="B35" s="32">
        <f>Recapagem!$D$119</f>
        <v>6.5098312135654757</v>
      </c>
      <c r="C35" s="32">
        <f>Recapagem!$D$120</f>
        <v>0</v>
      </c>
      <c r="D35" s="32">
        <f>Recapagem!$D$121</f>
        <v>2.2025057173369333E-2</v>
      </c>
      <c r="E35" s="32">
        <f>Recapagem!$D$122</f>
        <v>0</v>
      </c>
      <c r="F35" s="32">
        <f>Recapagem!$D$123</f>
        <v>1.4973740902901822</v>
      </c>
      <c r="G35" s="32">
        <f>Recapagem!$D$124</f>
        <v>0</v>
      </c>
      <c r="H35" s="32">
        <f>Recapagem!$D$125</f>
        <v>0</v>
      </c>
      <c r="I35" s="32">
        <f>Recapagem!$D$126</f>
        <v>0</v>
      </c>
      <c r="J35" s="32">
        <f>Recapagem!$D$127</f>
        <v>0</v>
      </c>
      <c r="K35" s="32">
        <f>Recapagem!$D$128</f>
        <v>0</v>
      </c>
      <c r="L35" s="32">
        <f>Recapagem!$D$129</f>
        <v>0</v>
      </c>
      <c r="M35" s="32">
        <f>Recapagem!$D$130</f>
        <v>1.5982238742827004</v>
      </c>
      <c r="N35" s="41">
        <f t="shared" si="1"/>
        <v>9.8566273209600723</v>
      </c>
    </row>
    <row r="36" spans="1:14" ht="22.5" customHeight="1">
      <c r="A36" s="6" t="s">
        <v>36</v>
      </c>
      <c r="B36" s="32">
        <f>Lavagem!$D$119</f>
        <v>0</v>
      </c>
      <c r="C36" s="32">
        <f>Lavagem!$D$120</f>
        <v>0</v>
      </c>
      <c r="D36" s="32">
        <f>Lavagem!$D$121</f>
        <v>0</v>
      </c>
      <c r="E36" s="32">
        <f>Lavagem!$D$122</f>
        <v>1.2269938650306678</v>
      </c>
      <c r="F36" s="32">
        <f>Lavagem!$D$123</f>
        <v>0</v>
      </c>
      <c r="G36" s="32">
        <f>Lavagem!$D$124</f>
        <v>0</v>
      </c>
      <c r="H36" s="32">
        <f>Lavagem!$D$125</f>
        <v>0</v>
      </c>
      <c r="I36" s="32">
        <f>Lavagem!$D$126</f>
        <v>0</v>
      </c>
      <c r="J36" s="32">
        <f>Lavagem!$D$127</f>
        <v>0</v>
      </c>
      <c r="K36" s="32">
        <f>Lavagem!$D$128</f>
        <v>0</v>
      </c>
      <c r="L36" s="32">
        <f>Lavagem!$D$129</f>
        <v>0</v>
      </c>
      <c r="M36" s="32">
        <f>Lavagem!$D$130</f>
        <v>0</v>
      </c>
      <c r="N36" s="41">
        <f t="shared" si="1"/>
        <v>1.2269938650306642</v>
      </c>
    </row>
    <row r="37" spans="1:14" ht="22.5" customHeight="1">
      <c r="A37" s="5" t="s">
        <v>29</v>
      </c>
      <c r="B37" s="32">
        <f>Seguros!$D$119</f>
        <v>0.15513617676758962</v>
      </c>
      <c r="C37" s="32">
        <f>Seguros!$D$120</f>
        <v>0.36142371352660962</v>
      </c>
      <c r="D37" s="32">
        <f>Seguros!$D$121</f>
        <v>0</v>
      </c>
      <c r="E37" s="32">
        <f>Seguros!$D$122</f>
        <v>0</v>
      </c>
      <c r="F37" s="32">
        <f>Seguros!$D$123</f>
        <v>0</v>
      </c>
      <c r="G37" s="32">
        <f>Seguros!$D$124</f>
        <v>0</v>
      </c>
      <c r="H37" s="32">
        <f>Seguros!$D$125</f>
        <v>0.2057840838233016</v>
      </c>
      <c r="I37" s="32">
        <f>Seguros!$D$126</f>
        <v>0.59041426241137618</v>
      </c>
      <c r="J37" s="32">
        <f>Seguros!$D$127</f>
        <v>0.15311708681464697</v>
      </c>
      <c r="K37" s="32">
        <f>Seguros!$D$128</f>
        <v>0.10192199788248146</v>
      </c>
      <c r="L37" s="32">
        <f>Seguros!$D$129</f>
        <v>0</v>
      </c>
      <c r="M37" s="32">
        <f>Seguros!$D$130</f>
        <v>0</v>
      </c>
      <c r="N37" s="41">
        <f t="shared" si="1"/>
        <v>1.5772177971371235</v>
      </c>
    </row>
    <row r="38" spans="1:14" ht="22.5" customHeight="1" thickBot="1">
      <c r="A38" s="59" t="s">
        <v>37</v>
      </c>
      <c r="B38" s="60">
        <f>Manutenção!$D$119</f>
        <v>0.74000000000000732</v>
      </c>
      <c r="C38" s="60">
        <f>Manutenção!$D$120</f>
        <v>0.9200000000000097</v>
      </c>
      <c r="D38" s="60">
        <f>Manutenção!$D$121</f>
        <v>0.52000000000000934</v>
      </c>
      <c r="E38" s="60">
        <f>Manutenção!$D$122</f>
        <v>0.60000000000000053</v>
      </c>
      <c r="F38" s="60">
        <f>Manutenção!$D$123</f>
        <v>0.59000000000000163</v>
      </c>
      <c r="G38" s="60">
        <f>Manutenção!$D$124</f>
        <v>0.35000000000000586</v>
      </c>
      <c r="H38" s="60">
        <f>Manutenção!$D$125</f>
        <v>0.27999999999999137</v>
      </c>
      <c r="I38" s="60">
        <f>Manutenção!$D$126</f>
        <v>-0.12999999999999678</v>
      </c>
      <c r="J38" s="60">
        <f>Manutenção!$D$127</f>
        <v>0.16000000000000458</v>
      </c>
      <c r="K38" s="60">
        <f>Manutenção!$D$128</f>
        <v>0.26999999999999247</v>
      </c>
      <c r="L38" s="60">
        <f>Manutenção!$D$129</f>
        <v>0.60999999999999943</v>
      </c>
      <c r="M38" s="60">
        <f>Manutenção!$D$130</f>
        <v>0.54000000000000714</v>
      </c>
      <c r="N38" s="61">
        <f t="shared" si="1"/>
        <v>5.5836253158919931</v>
      </c>
    </row>
    <row r="39" spans="1:14" s="13" customFormat="1" ht="22.5" customHeight="1">
      <c r="A39" s="33" t="s">
        <v>18</v>
      </c>
      <c r="B39" s="3"/>
      <c r="C39" s="10"/>
      <c r="D39" s="10"/>
      <c r="E39" s="10"/>
      <c r="F39" s="10"/>
      <c r="G39" s="11"/>
      <c r="H39" s="11"/>
      <c r="I39" s="11"/>
      <c r="J39" s="11"/>
      <c r="K39" s="11"/>
      <c r="L39" s="11"/>
      <c r="M39" s="11"/>
      <c r="N39" s="12"/>
    </row>
    <row r="40" spans="1:14" ht="20.100000000000001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16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ht="16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ht="16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14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14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1:14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4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1:14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1:14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1:14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1:14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1:14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4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14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14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14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1:14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14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14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4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4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1:14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1:14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4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1:14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1:14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1:14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14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1:14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1:14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1:14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1:14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1:14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1:14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1:14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4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1:14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1:14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1:14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1:14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1:14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1:14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1:14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1:14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1:14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spans="1:14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1:14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spans="1:14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1:14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spans="1:14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1:14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1:14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spans="1:14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spans="1:14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spans="1:14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spans="1:14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 spans="1:14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spans="1:14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spans="1:14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</row>
    <row r="160" spans="1:14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</row>
    <row r="161" spans="1:14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</row>
    <row r="162" spans="1:14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</row>
    <row r="163" spans="1:14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 spans="1:14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</row>
    <row r="165" spans="1:14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 spans="1:14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spans="1:14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 spans="1:14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spans="1:14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 spans="1:14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1:14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spans="1:14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spans="1:14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 spans="1:14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</row>
    <row r="175" spans="1:14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spans="1:14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 spans="1:14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 spans="1:14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 spans="1:14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</row>
    <row r="180" spans="1:14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</row>
    <row r="181" spans="1:14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</row>
    <row r="182" spans="1:14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 spans="1:14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1:14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 spans="1:14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</row>
    <row r="186" spans="1:14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</row>
    <row r="187" spans="1:14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</row>
    <row r="188" spans="1:14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 spans="1:14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spans="1:14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spans="1:14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spans="1:14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spans="1:14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spans="1:14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spans="1:14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spans="1:14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1:14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spans="1:14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spans="1:14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</row>
    <row r="200" spans="1:14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</row>
    <row r="201" spans="1:14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</row>
    <row r="202" spans="1:14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</row>
    <row r="203" spans="1:14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</row>
    <row r="204" spans="1:14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</row>
    <row r="205" spans="1:14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</row>
    <row r="206" spans="1:14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</row>
    <row r="207" spans="1:14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</row>
    <row r="208" spans="1:14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</row>
    <row r="209" spans="1:14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spans="1:14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</row>
    <row r="211" spans="1:14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</row>
    <row r="212" spans="1:14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</row>
    <row r="213" spans="1:14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</row>
    <row r="214" spans="1:14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</row>
    <row r="215" spans="1:14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</row>
    <row r="216" spans="1:14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</row>
    <row r="217" spans="1:14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</row>
    <row r="218" spans="1:14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</row>
    <row r="219" spans="1:14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</row>
    <row r="220" spans="1:14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spans="1:14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</row>
    <row r="222" spans="1:14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spans="1:14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</row>
    <row r="224" spans="1:14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</row>
    <row r="225" spans="1:14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</row>
    <row r="226" spans="1:14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</row>
    <row r="227" spans="1:14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</row>
    <row r="228" spans="1:14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</row>
    <row r="229" spans="1:14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</row>
    <row r="230" spans="1:14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</row>
    <row r="231" spans="1:14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</row>
    <row r="232" spans="1:14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</row>
    <row r="233" spans="1:14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</row>
    <row r="234" spans="1:14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</row>
    <row r="235" spans="1:14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</row>
    <row r="236" spans="1:14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</row>
    <row r="237" spans="1:14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</row>
    <row r="238" spans="1:14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</row>
    <row r="239" spans="1:14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</row>
    <row r="240" spans="1:14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</row>
    <row r="241" spans="1:14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</row>
    <row r="242" spans="1:14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</row>
    <row r="243" spans="1:14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</row>
    <row r="244" spans="1:14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</row>
    <row r="245" spans="1:14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</row>
    <row r="246" spans="1:14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</row>
    <row r="247" spans="1:14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</row>
    <row r="248" spans="1:14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spans="1:14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</row>
    <row r="250" spans="1:14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</row>
    <row r="251" spans="1:14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</row>
    <row r="252" spans="1:14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</row>
    <row r="253" spans="1:14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</row>
    <row r="254" spans="1:14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</row>
    <row r="255" spans="1:14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</row>
    <row r="256" spans="1:14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</row>
    <row r="257" spans="1:14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</row>
    <row r="258" spans="1:14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</row>
    <row r="259" spans="1:14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</row>
    <row r="260" spans="1:14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</row>
    <row r="261" spans="1:14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spans="1:14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</row>
    <row r="263" spans="1:14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</row>
    <row r="264" spans="1:14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</row>
    <row r="265" spans="1:14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</row>
    <row r="266" spans="1:14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</row>
    <row r="267" spans="1:14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</row>
    <row r="268" spans="1:14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</row>
    <row r="269" spans="1:14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</row>
    <row r="270" spans="1:14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</row>
    <row r="271" spans="1:14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</row>
    <row r="272" spans="1:14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</row>
    <row r="273" spans="1:14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</row>
    <row r="274" spans="1:14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</row>
    <row r="275" spans="1:14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</row>
    <row r="276" spans="1:14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</row>
    <row r="277" spans="1:14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</row>
    <row r="278" spans="1:14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</row>
    <row r="279" spans="1:14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</row>
    <row r="280" spans="1:14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</row>
    <row r="281" spans="1:14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</row>
    <row r="282" spans="1:14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</row>
    <row r="283" spans="1:14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</row>
    <row r="284" spans="1:14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</row>
    <row r="285" spans="1:14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</row>
    <row r="286" spans="1:14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</row>
    <row r="287" spans="1:14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</row>
    <row r="288" spans="1:14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</row>
    <row r="289" spans="1:14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</row>
    <row r="290" spans="1:14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</row>
    <row r="291" spans="1:14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</row>
    <row r="292" spans="1:14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</row>
    <row r="293" spans="1:14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</row>
    <row r="294" spans="1:14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</row>
    <row r="295" spans="1:14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</row>
    <row r="296" spans="1:14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</row>
    <row r="297" spans="1:14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</row>
    <row r="298" spans="1:14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</row>
    <row r="299" spans="1:14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</row>
    <row r="300" spans="1:14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</row>
    <row r="301" spans="1:14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</row>
    <row r="302" spans="1:14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</row>
    <row r="303" spans="1:14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</row>
    <row r="304" spans="1:14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</row>
    <row r="305" spans="1:14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</row>
    <row r="306" spans="1:14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</row>
    <row r="307" spans="1:14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</row>
    <row r="308" spans="1:14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</row>
    <row r="309" spans="1:14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</row>
    <row r="310" spans="1:14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</row>
    <row r="311" spans="1:14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</row>
    <row r="312" spans="1:14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</row>
    <row r="313" spans="1:14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</row>
    <row r="314" spans="1:14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</row>
    <row r="315" spans="1:14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</row>
    <row r="316" spans="1:14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</row>
    <row r="317" spans="1:14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</row>
    <row r="318" spans="1:14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</row>
    <row r="319" spans="1:14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</row>
    <row r="320" spans="1:14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</row>
    <row r="321" spans="1:14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</row>
    <row r="322" spans="1:14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</row>
    <row r="323" spans="1:14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</row>
    <row r="324" spans="1:14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</row>
    <row r="325" spans="1:14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</row>
    <row r="326" spans="1:14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</row>
    <row r="327" spans="1:14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</row>
    <row r="328" spans="1:14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</row>
    <row r="329" spans="1:14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</row>
    <row r="330" spans="1:14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</row>
    <row r="331" spans="1:14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</row>
    <row r="332" spans="1:14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</row>
    <row r="333" spans="1:14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</row>
    <row r="334" spans="1:14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</row>
    <row r="335" spans="1:14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</row>
    <row r="336" spans="1:14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</row>
    <row r="337" spans="1:14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</row>
    <row r="338" spans="1:14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</row>
    <row r="339" spans="1:14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 spans="1:14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</row>
    <row r="341" spans="1:14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</row>
    <row r="342" spans="1:14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</row>
    <row r="343" spans="1:14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</row>
    <row r="344" spans="1:14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</row>
    <row r="345" spans="1:14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</row>
    <row r="346" spans="1:14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</row>
    <row r="347" spans="1:14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</row>
    <row r="348" spans="1:14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</row>
    <row r="349" spans="1:14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</row>
    <row r="350" spans="1:14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</row>
    <row r="351" spans="1:14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</row>
    <row r="352" spans="1:14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</row>
    <row r="353" spans="1:14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</row>
    <row r="354" spans="1:14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</row>
    <row r="355" spans="1:14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</row>
    <row r="356" spans="1:14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</row>
    <row r="357" spans="1:14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</row>
    <row r="358" spans="1:14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</row>
    <row r="359" spans="1:14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</row>
    <row r="360" spans="1:14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</row>
    <row r="361" spans="1:14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</row>
    <row r="362" spans="1:14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</row>
    <row r="363" spans="1:14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</row>
    <row r="364" spans="1:14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</row>
    <row r="365" spans="1:14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</row>
    <row r="366" spans="1:14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</row>
    <row r="367" spans="1:14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</row>
    <row r="368" spans="1:14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</row>
    <row r="369" spans="1:14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</row>
    <row r="370" spans="1:14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</row>
    <row r="371" spans="1:14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</row>
    <row r="372" spans="1:14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</row>
    <row r="373" spans="1:14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</row>
    <row r="374" spans="1:14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</row>
    <row r="375" spans="1:14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</row>
    <row r="376" spans="1:14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</row>
    <row r="377" spans="1:14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</row>
    <row r="378" spans="1:14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</row>
    <row r="379" spans="1:14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</row>
    <row r="380" spans="1:14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</row>
    <row r="381" spans="1:14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</row>
    <row r="382" spans="1:14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</row>
    <row r="383" spans="1:14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</row>
    <row r="384" spans="1:14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</row>
    <row r="385" spans="1:14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</row>
    <row r="386" spans="1:14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</row>
    <row r="387" spans="1:14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</row>
    <row r="388" spans="1:14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</row>
    <row r="389" spans="1:14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</row>
    <row r="390" spans="1:14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</row>
    <row r="391" spans="1:14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</row>
    <row r="392" spans="1:14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</row>
    <row r="393" spans="1:14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</row>
    <row r="394" spans="1:14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</row>
    <row r="395" spans="1:14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</row>
    <row r="396" spans="1:14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</row>
    <row r="397" spans="1:14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</row>
    <row r="398" spans="1:14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</row>
    <row r="399" spans="1:14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</row>
    <row r="400" spans="1:14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</row>
    <row r="401" spans="1:14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</row>
    <row r="402" spans="1:14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</row>
    <row r="403" spans="1:14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</row>
    <row r="404" spans="1:14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</row>
    <row r="405" spans="1:14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</row>
    <row r="406" spans="1:14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</row>
    <row r="407" spans="1:14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</row>
    <row r="408" spans="1:14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</row>
    <row r="409" spans="1:14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</row>
    <row r="410" spans="1:14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</row>
    <row r="411" spans="1:14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</row>
    <row r="412" spans="1:14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</row>
    <row r="413" spans="1:14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</row>
    <row r="414" spans="1:14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</row>
    <row r="415" spans="1:14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</row>
    <row r="416" spans="1:14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</row>
    <row r="417" spans="1:14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</row>
    <row r="418" spans="1:14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</row>
    <row r="419" spans="1:14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</row>
    <row r="420" spans="1:14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</row>
    <row r="421" spans="1:14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</row>
    <row r="422" spans="1:14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</row>
    <row r="423" spans="1:14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</row>
    <row r="424" spans="1:14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</row>
    <row r="425" spans="1:14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</row>
    <row r="426" spans="1:14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</row>
    <row r="427" spans="1:14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</row>
    <row r="428" spans="1:14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</row>
    <row r="429" spans="1:14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</row>
    <row r="430" spans="1:14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</row>
    <row r="431" spans="1:14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</row>
    <row r="432" spans="1:14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</row>
    <row r="433" spans="1:14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</row>
    <row r="434" spans="1:14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</row>
    <row r="435" spans="1:14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</row>
    <row r="436" spans="1:14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</row>
    <row r="437" spans="1:14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</row>
    <row r="438" spans="1:14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</row>
    <row r="439" spans="1:14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</row>
    <row r="440" spans="1:14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</row>
    <row r="441" spans="1:14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</row>
    <row r="442" spans="1:14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</row>
    <row r="443" spans="1:14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</row>
    <row r="444" spans="1:14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</row>
    <row r="445" spans="1:14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</row>
    <row r="446" spans="1:14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</row>
    <row r="447" spans="1:14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</row>
    <row r="448" spans="1:14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</row>
    <row r="449" spans="1:14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</row>
    <row r="450" spans="1:14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</row>
    <row r="451" spans="1:14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</row>
    <row r="452" spans="1:14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</row>
    <row r="453" spans="1:14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</row>
    <row r="454" spans="1:14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</row>
    <row r="455" spans="1:14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</row>
    <row r="456" spans="1:14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</row>
    <row r="457" spans="1:14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</row>
    <row r="458" spans="1:14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</row>
    <row r="459" spans="1:14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</row>
    <row r="460" spans="1:14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</row>
    <row r="461" spans="1:14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</row>
    <row r="462" spans="1:14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</row>
    <row r="463" spans="1:14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</row>
    <row r="464" spans="1:14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</row>
    <row r="465" spans="1:14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</row>
    <row r="466" spans="1:14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</row>
    <row r="467" spans="1:14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</row>
    <row r="468" spans="1:14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</row>
    <row r="469" spans="1:14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</row>
    <row r="470" spans="1:14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</row>
    <row r="471" spans="1:14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</row>
    <row r="472" spans="1:14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</row>
    <row r="473" spans="1:14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</row>
    <row r="474" spans="1:14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</row>
    <row r="475" spans="1:14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</row>
    <row r="476" spans="1:14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</row>
    <row r="477" spans="1:14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</row>
    <row r="478" spans="1:14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</row>
    <row r="479" spans="1:14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</row>
    <row r="480" spans="1:14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</row>
    <row r="481" spans="1:14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</row>
    <row r="482" spans="1:14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</row>
    <row r="483" spans="1:14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</row>
    <row r="484" spans="1:14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</row>
    <row r="485" spans="1:14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</row>
    <row r="486" spans="1:14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</row>
    <row r="487" spans="1:14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</row>
    <row r="488" spans="1:14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</row>
    <row r="489" spans="1:14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</row>
    <row r="490" spans="1:14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</row>
    <row r="491" spans="1:14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</row>
    <row r="492" spans="1:14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</row>
    <row r="493" spans="1:14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</row>
    <row r="494" spans="1:14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</row>
    <row r="495" spans="1:14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</row>
    <row r="496" spans="1:14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</row>
    <row r="497" spans="1:14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</row>
    <row r="498" spans="1:14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</row>
    <row r="499" spans="1:14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</row>
    <row r="500" spans="1:14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</row>
    <row r="501" spans="1:14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</row>
    <row r="502" spans="1:14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</row>
    <row r="503" spans="1:14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</row>
    <row r="504" spans="1:14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</row>
    <row r="505" spans="1:14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</row>
    <row r="506" spans="1:14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</row>
    <row r="507" spans="1:14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</row>
    <row r="508" spans="1:14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</row>
    <row r="509" spans="1:14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</row>
    <row r="510" spans="1:14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</row>
    <row r="511" spans="1:14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</row>
    <row r="512" spans="1:14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</row>
    <row r="513" spans="1:14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</row>
    <row r="514" spans="1:14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</row>
    <row r="515" spans="1:14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</row>
    <row r="516" spans="1:14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</row>
    <row r="517" spans="1:14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</row>
    <row r="518" spans="1:14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</row>
    <row r="519" spans="1:14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</row>
    <row r="520" spans="1:14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</row>
    <row r="521" spans="1:14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</row>
    <row r="522" spans="1:14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</row>
    <row r="523" spans="1:14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</row>
    <row r="524" spans="1:14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</row>
    <row r="525" spans="1:14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</row>
    <row r="526" spans="1:14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</row>
    <row r="527" spans="1:14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</row>
    <row r="528" spans="1:14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</row>
    <row r="529" spans="1:14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</row>
    <row r="530" spans="1:14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</row>
    <row r="531" spans="1:14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</row>
    <row r="532" spans="1:14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</row>
    <row r="533" spans="1:14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</row>
    <row r="534" spans="1:14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</row>
    <row r="535" spans="1:14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</row>
    <row r="536" spans="1:14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</row>
    <row r="537" spans="1:14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</row>
    <row r="538" spans="1:14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</row>
    <row r="539" spans="1:14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</row>
    <row r="540" spans="1:14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</row>
    <row r="541" spans="1:14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</row>
    <row r="542" spans="1:14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</row>
    <row r="543" spans="1:14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</row>
    <row r="544" spans="1:14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</row>
    <row r="545" spans="1:14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</row>
    <row r="546" spans="1:14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</row>
    <row r="547" spans="1:14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</row>
    <row r="548" spans="1:14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</row>
    <row r="549" spans="1:14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</row>
    <row r="550" spans="1:14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</row>
    <row r="551" spans="1:14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</row>
    <row r="552" spans="1:14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</row>
    <row r="553" spans="1:14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</row>
    <row r="554" spans="1:14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</row>
    <row r="555" spans="1:14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</row>
    <row r="556" spans="1:14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</row>
    <row r="557" spans="1:14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</row>
    <row r="558" spans="1:14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</row>
    <row r="559" spans="1:14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</row>
    <row r="560" spans="1:14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</row>
    <row r="561" spans="1:14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</row>
    <row r="562" spans="1:14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</row>
    <row r="563" spans="1:14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</row>
    <row r="564" spans="1:14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</row>
    <row r="565" spans="1:14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</row>
    <row r="566" spans="1:14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</row>
    <row r="567" spans="1:14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</row>
    <row r="568" spans="1:14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</row>
    <row r="569" spans="1:14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</row>
    <row r="570" spans="1:14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</row>
    <row r="571" spans="1:14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</row>
    <row r="572" spans="1:14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</row>
    <row r="573" spans="1:14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</row>
    <row r="574" spans="1:14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</row>
    <row r="575" spans="1:14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</row>
    <row r="576" spans="1:14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</row>
    <row r="577" spans="1:14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</row>
    <row r="578" spans="1:14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</row>
    <row r="579" spans="1:14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</row>
    <row r="580" spans="1:14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</row>
    <row r="581" spans="1:14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</row>
    <row r="582" spans="1:14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</row>
    <row r="583" spans="1:14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</row>
    <row r="584" spans="1:14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</row>
    <row r="585" spans="1:14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</row>
    <row r="586" spans="1:14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</row>
    <row r="587" spans="1:14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</row>
    <row r="588" spans="1:14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</row>
    <row r="589" spans="1:14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</row>
    <row r="590" spans="1:14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</row>
    <row r="591" spans="1:14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</row>
    <row r="592" spans="1:14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</row>
    <row r="593" spans="1:14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</row>
    <row r="594" spans="1:14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</row>
    <row r="595" spans="1:14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</row>
    <row r="596" spans="1:14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</row>
    <row r="597" spans="1:14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</row>
    <row r="598" spans="1:14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</row>
    <row r="599" spans="1:14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</row>
    <row r="600" spans="1:14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</row>
    <row r="601" spans="1:14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</row>
    <row r="602" spans="1:14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</row>
    <row r="603" spans="1:14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</row>
    <row r="604" spans="1:14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</row>
    <row r="605" spans="1:14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</row>
    <row r="606" spans="1:14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</row>
    <row r="607" spans="1:14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</row>
    <row r="608" spans="1:14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</row>
    <row r="609" spans="1:14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</row>
    <row r="610" spans="1:14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</row>
    <row r="611" spans="1:14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</row>
    <row r="612" spans="1:14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</row>
    <row r="613" spans="1:14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</row>
    <row r="614" spans="1:14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</row>
    <row r="615" spans="1:14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</row>
    <row r="616" spans="1:14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</row>
    <row r="617" spans="1:14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</row>
    <row r="618" spans="1:14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</row>
    <row r="619" spans="1:14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</row>
    <row r="620" spans="1:14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</row>
    <row r="621" spans="1:14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</row>
    <row r="622" spans="1:14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</row>
    <row r="623" spans="1:14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</row>
    <row r="624" spans="1:14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</row>
    <row r="625" spans="1:14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</row>
    <row r="626" spans="1:14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</row>
    <row r="627" spans="1:14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</row>
    <row r="628" spans="1:14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</row>
    <row r="629" spans="1:14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</row>
    <row r="630" spans="1:14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</row>
    <row r="631" spans="1:14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</row>
    <row r="632" spans="1:14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</row>
    <row r="633" spans="1:14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</row>
    <row r="634" spans="1:14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</row>
    <row r="635" spans="1:14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</row>
    <row r="636" spans="1:14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</row>
    <row r="637" spans="1:14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</row>
    <row r="638" spans="1:14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</row>
    <row r="639" spans="1:14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</row>
    <row r="640" spans="1:14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</row>
    <row r="641" spans="1:14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</row>
    <row r="642" spans="1:14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</row>
    <row r="643" spans="1:14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</row>
    <row r="644" spans="1:14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</row>
    <row r="645" spans="1:14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</row>
    <row r="646" spans="1:14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</row>
    <row r="647" spans="1:14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</row>
    <row r="648" spans="1:14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</row>
    <row r="649" spans="1:14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</row>
    <row r="650" spans="1:14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</row>
    <row r="651" spans="1:14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</row>
    <row r="652" spans="1:14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</row>
    <row r="653" spans="1:14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</row>
    <row r="654" spans="1:14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</row>
    <row r="655" spans="1:14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</row>
    <row r="656" spans="1:14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</row>
    <row r="657" spans="1:14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</row>
    <row r="658" spans="1:14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</row>
    <row r="659" spans="1:14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</row>
    <row r="660" spans="1:14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</row>
    <row r="661" spans="1:14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</row>
    <row r="662" spans="1:14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</row>
    <row r="663" spans="1:14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</row>
    <row r="664" spans="1:14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</row>
    <row r="665" spans="1:14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</row>
    <row r="666" spans="1:14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</row>
    <row r="667" spans="1:14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</row>
    <row r="668" spans="1:14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</row>
    <row r="669" spans="1:14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</row>
    <row r="670" spans="1:14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</row>
    <row r="671" spans="1:14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</row>
    <row r="672" spans="1:14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</row>
    <row r="673" spans="1:14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</row>
    <row r="674" spans="1:14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</row>
    <row r="675" spans="1:14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</row>
    <row r="676" spans="1:14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</row>
    <row r="677" spans="1:14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</row>
    <row r="678" spans="1:14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</row>
    <row r="679" spans="1:14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</row>
    <row r="680" spans="1:14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</row>
    <row r="681" spans="1:14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</row>
    <row r="682" spans="1:14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</row>
    <row r="683" spans="1:14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</row>
    <row r="684" spans="1:14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</row>
    <row r="685" spans="1:14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</row>
    <row r="686" spans="1:14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</row>
    <row r="687" spans="1:14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</row>
    <row r="688" spans="1:14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</row>
    <row r="689" spans="1:14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</row>
    <row r="690" spans="1:14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</row>
    <row r="691" spans="1:14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</row>
    <row r="692" spans="1:14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</row>
    <row r="693" spans="1:14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</row>
    <row r="694" spans="1:14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</row>
    <row r="695" spans="1:14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</row>
    <row r="696" spans="1:14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</row>
    <row r="697" spans="1:14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</row>
    <row r="698" spans="1:14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</row>
    <row r="699" spans="1:14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</row>
    <row r="700" spans="1:14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</row>
    <row r="701" spans="1:14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</row>
    <row r="702" spans="1:14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</row>
    <row r="703" spans="1:14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</row>
    <row r="704" spans="1:14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</row>
    <row r="705" spans="1:14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</row>
    <row r="706" spans="1:14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</row>
    <row r="707" spans="1:14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</row>
    <row r="708" spans="1:14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</row>
    <row r="709" spans="1:14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</row>
    <row r="710" spans="1:14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</row>
    <row r="711" spans="1:14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</row>
    <row r="712" spans="1:14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</row>
    <row r="713" spans="1:14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</row>
    <row r="714" spans="1:14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</row>
    <row r="715" spans="1:14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</row>
    <row r="716" spans="1:14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</row>
    <row r="717" spans="1:14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</row>
    <row r="718" spans="1:14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</row>
    <row r="719" spans="1:14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</row>
    <row r="720" spans="1:14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</row>
    <row r="721" spans="1:14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</row>
    <row r="722" spans="1:14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</row>
    <row r="723" spans="1:14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</row>
    <row r="724" spans="1:14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</row>
    <row r="725" spans="1:14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</row>
    <row r="726" spans="1:14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</row>
    <row r="727" spans="1:14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</row>
    <row r="728" spans="1:14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</row>
    <row r="729" spans="1:14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</row>
    <row r="730" spans="1:14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</row>
    <row r="731" spans="1:14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</row>
    <row r="732" spans="1:14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</row>
    <row r="733" spans="1:14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</row>
    <row r="734" spans="1:14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</row>
    <row r="735" spans="1:14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</row>
    <row r="736" spans="1:14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</row>
    <row r="737" spans="1:14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</row>
    <row r="738" spans="1:14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</row>
    <row r="739" spans="1:14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</row>
    <row r="740" spans="1:14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</row>
    <row r="741" spans="1:14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</row>
    <row r="742" spans="1:14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</row>
    <row r="743" spans="1:14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</row>
    <row r="744" spans="1:14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</row>
    <row r="745" spans="1:14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</row>
    <row r="746" spans="1:14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</row>
    <row r="747" spans="1:14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</row>
    <row r="748" spans="1:14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</row>
    <row r="749" spans="1:14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</row>
    <row r="750" spans="1:14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</row>
    <row r="751" spans="1:14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</row>
    <row r="752" spans="1:14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</row>
    <row r="753" spans="1:14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</row>
    <row r="754" spans="1:14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</row>
    <row r="755" spans="1:14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</row>
    <row r="756" spans="1:14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</row>
    <row r="757" spans="1:14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</row>
    <row r="758" spans="1:14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</row>
    <row r="759" spans="1:14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</row>
    <row r="760" spans="1:14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</row>
    <row r="761" spans="1:14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</row>
    <row r="762" spans="1:14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</row>
    <row r="763" spans="1:14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</row>
    <row r="764" spans="1:14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</row>
    <row r="765" spans="1:14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</row>
    <row r="766" spans="1:14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</row>
    <row r="767" spans="1:14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</row>
    <row r="768" spans="1:14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</row>
    <row r="769" spans="1:14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</row>
    <row r="770" spans="1:14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</row>
    <row r="771" spans="1:14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</row>
    <row r="772" spans="1:14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</row>
    <row r="773" spans="1:14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</row>
    <row r="774" spans="1:14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</row>
    <row r="775" spans="1:14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</row>
    <row r="776" spans="1:14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</row>
    <row r="777" spans="1:14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</row>
    <row r="778" spans="1:14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</row>
    <row r="779" spans="1:14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</row>
    <row r="780" spans="1:14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</row>
    <row r="781" spans="1:14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</row>
    <row r="782" spans="1:14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</row>
    <row r="783" spans="1:14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</row>
    <row r="784" spans="1:14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</row>
    <row r="785" spans="1:14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</row>
    <row r="786" spans="1:14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</row>
    <row r="787" spans="1:14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</row>
    <row r="788" spans="1:14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</row>
    <row r="789" spans="1:14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</row>
    <row r="790" spans="1:14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</row>
    <row r="791" spans="1:14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</row>
    <row r="792" spans="1:14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</row>
    <row r="793" spans="1:14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</row>
    <row r="794" spans="1:14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</row>
    <row r="795" spans="1:14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</row>
    <row r="796" spans="1:14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</row>
    <row r="797" spans="1:14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</row>
    <row r="798" spans="1:14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</row>
    <row r="799" spans="1:14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</row>
    <row r="800" spans="1:14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</row>
    <row r="801" spans="1:14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</row>
    <row r="802" spans="1:14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</row>
    <row r="803" spans="1:14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</row>
    <row r="804" spans="1:14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</row>
    <row r="805" spans="1:14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</row>
    <row r="806" spans="1:14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</row>
    <row r="807" spans="1:14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</row>
    <row r="808" spans="1:14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</row>
    <row r="809" spans="1:14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</row>
    <row r="810" spans="1:14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</row>
    <row r="811" spans="1:14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</row>
    <row r="812" spans="1:14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</row>
    <row r="813" spans="1:14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</row>
    <row r="814" spans="1:14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</row>
    <row r="815" spans="1:14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</row>
    <row r="816" spans="1:14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</row>
    <row r="817" spans="1:14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</row>
    <row r="818" spans="1:14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</row>
    <row r="819" spans="1:14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</row>
    <row r="820" spans="1:14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</row>
    <row r="821" spans="1:14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</row>
    <row r="822" spans="1:14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</row>
    <row r="823" spans="1:14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</row>
    <row r="824" spans="1:14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</row>
    <row r="825" spans="1:14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</row>
    <row r="826" spans="1:14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</row>
    <row r="827" spans="1:14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</row>
    <row r="828" spans="1:14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</row>
    <row r="829" spans="1:14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</row>
    <row r="830" spans="1:14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</row>
    <row r="831" spans="1:14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</row>
    <row r="832" spans="1:14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</row>
    <row r="833" spans="1:14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</row>
    <row r="834" spans="1:14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</row>
    <row r="835" spans="1:14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</row>
    <row r="836" spans="1:14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</row>
    <row r="837" spans="1:14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</row>
    <row r="838" spans="1:14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</row>
    <row r="839" spans="1:14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</row>
    <row r="840" spans="1:14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</row>
    <row r="841" spans="1:14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</row>
    <row r="842" spans="1:14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</row>
    <row r="843" spans="1:14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</row>
    <row r="844" spans="1:14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</row>
    <row r="845" spans="1:14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</row>
    <row r="846" spans="1:14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</row>
    <row r="847" spans="1:14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</row>
    <row r="848" spans="1:14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</row>
    <row r="849" spans="1:14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</row>
    <row r="850" spans="1:14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</row>
    <row r="851" spans="1:14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</row>
    <row r="852" spans="1:14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</row>
    <row r="853" spans="1:14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</row>
    <row r="854" spans="1:14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</row>
    <row r="855" spans="1:14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</row>
    <row r="856" spans="1:14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</row>
    <row r="857" spans="1:14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</row>
    <row r="858" spans="1:14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</row>
    <row r="859" spans="1:14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</row>
    <row r="860" spans="1:14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</row>
    <row r="861" spans="1:14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</row>
    <row r="862" spans="1:14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</row>
    <row r="863" spans="1:14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</row>
    <row r="864" spans="1:14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</row>
    <row r="865" spans="1:14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</row>
    <row r="866" spans="1:14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</row>
    <row r="867" spans="1:14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</row>
    <row r="868" spans="1:14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</row>
    <row r="869" spans="1:14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</row>
    <row r="870" spans="1:14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</row>
    <row r="871" spans="1:14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</row>
    <row r="872" spans="1:14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</row>
    <row r="873" spans="1:14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</row>
    <row r="874" spans="1:14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</row>
    <row r="875" spans="1:14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</row>
    <row r="876" spans="1:14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</row>
    <row r="877" spans="1:14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</row>
    <row r="878" spans="1:14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</row>
    <row r="879" spans="1:14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</row>
    <row r="880" spans="1:14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</row>
    <row r="881" spans="1:14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</row>
    <row r="882" spans="1:14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</row>
    <row r="883" spans="1:14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</row>
    <row r="884" spans="1:14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</row>
    <row r="885" spans="1:14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</row>
    <row r="886" spans="1:14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</row>
    <row r="887" spans="1:14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</row>
    <row r="888" spans="1:14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</row>
    <row r="889" spans="1:14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</row>
    <row r="890" spans="1:14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</row>
    <row r="891" spans="1:14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</row>
    <row r="892" spans="1:14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</row>
    <row r="893" spans="1:14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</row>
    <row r="894" spans="1:14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</row>
    <row r="895" spans="1:14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</row>
    <row r="896" spans="1:14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</row>
    <row r="897" spans="1:14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</row>
    <row r="898" spans="1:14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</row>
    <row r="899" spans="1:14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</row>
    <row r="900" spans="1:14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</row>
    <row r="901" spans="1:14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</row>
    <row r="902" spans="1:14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</row>
    <row r="903" spans="1:14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</row>
    <row r="904" spans="1:14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</row>
    <row r="905" spans="1:14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</row>
    <row r="906" spans="1:14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</row>
    <row r="907" spans="1:14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</row>
    <row r="908" spans="1:14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</row>
    <row r="909" spans="1:14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</row>
    <row r="910" spans="1:14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</row>
    <row r="911" spans="1:14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</row>
    <row r="912" spans="1:14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</row>
    <row r="913" spans="1:14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</row>
    <row r="914" spans="1:14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</row>
    <row r="915" spans="1:14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</row>
    <row r="916" spans="1:14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</row>
    <row r="917" spans="1:14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</row>
    <row r="918" spans="1:14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</row>
    <row r="919" spans="1:14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</row>
    <row r="920" spans="1:14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</row>
    <row r="921" spans="1:14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</row>
    <row r="922" spans="1:14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</row>
    <row r="923" spans="1:14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</row>
    <row r="924" spans="1:14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</row>
    <row r="925" spans="1:14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</row>
    <row r="926" spans="1:14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</row>
    <row r="927" spans="1:14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</row>
    <row r="928" spans="1:14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</row>
    <row r="929" spans="1:14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</row>
    <row r="930" spans="1:14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</row>
    <row r="931" spans="1:14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</row>
    <row r="932" spans="1:14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</row>
    <row r="933" spans="1:14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</row>
    <row r="934" spans="1:14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</row>
    <row r="935" spans="1:14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</row>
    <row r="936" spans="1:14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</row>
    <row r="937" spans="1:14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</row>
    <row r="938" spans="1:14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</row>
    <row r="939" spans="1:14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</row>
    <row r="940" spans="1:14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</row>
    <row r="941" spans="1:14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</row>
    <row r="942" spans="1:14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</row>
    <row r="943" spans="1:14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</row>
    <row r="944" spans="1:14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</row>
    <row r="945" spans="1:14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</row>
    <row r="946" spans="1:14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</row>
    <row r="947" spans="1:14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</row>
    <row r="948" spans="1:14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</row>
    <row r="949" spans="1:14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</row>
    <row r="950" spans="1:14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</row>
    <row r="951" spans="1:14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</row>
    <row r="952" spans="1:14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</row>
    <row r="953" spans="1:14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</row>
    <row r="954" spans="1:14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</row>
    <row r="955" spans="1:14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</row>
    <row r="956" spans="1:14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</row>
    <row r="957" spans="1:14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</row>
    <row r="958" spans="1:14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</row>
    <row r="959" spans="1:14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</row>
    <row r="960" spans="1:14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</row>
    <row r="961" spans="1:14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</row>
    <row r="962" spans="1:14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</row>
    <row r="963" spans="1:14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</row>
    <row r="964" spans="1:14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</row>
    <row r="965" spans="1:14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</row>
    <row r="966" spans="1:14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</row>
    <row r="967" spans="1:14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</row>
    <row r="968" spans="1:14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</row>
    <row r="969" spans="1:14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</row>
    <row r="970" spans="1:14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</row>
    <row r="971" spans="1:14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</row>
    <row r="972" spans="1:14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</row>
    <row r="973" spans="1:14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</row>
    <row r="974" spans="1:14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</row>
    <row r="975" spans="1:14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</row>
    <row r="976" spans="1:14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</row>
    <row r="977" spans="1:14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</row>
    <row r="978" spans="1:14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</row>
    <row r="979" spans="1:14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</row>
    <row r="980" spans="1:14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</row>
    <row r="981" spans="1:14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</row>
    <row r="982" spans="1:14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</row>
    <row r="983" spans="1:14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</row>
    <row r="984" spans="1:14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</row>
    <row r="985" spans="1:14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</row>
    <row r="986" spans="1:14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</row>
    <row r="987" spans="1:14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</row>
    <row r="988" spans="1:14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</row>
    <row r="989" spans="1:14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</row>
    <row r="990" spans="1:14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</row>
    <row r="991" spans="1:14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</row>
    <row r="992" spans="1:14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</row>
    <row r="993" spans="1:14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</row>
    <row r="994" spans="1:14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</row>
    <row r="995" spans="1:14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</row>
    <row r="996" spans="1:14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</row>
    <row r="997" spans="1:14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</row>
    <row r="998" spans="1:14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</row>
    <row r="999" spans="1:14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</row>
    <row r="1000" spans="1:14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</row>
    <row r="1001" spans="1:14" ht="16.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</row>
    <row r="1002" spans="1:14" ht="16.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</row>
    <row r="1003" spans="1:14" ht="16.5" customHeight="1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</row>
    <row r="1004" spans="1:14" ht="16.5" customHeight="1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</row>
    <row r="1005" spans="1:14" ht="16.5" customHeight="1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</row>
    <row r="1006" spans="1:14" ht="16.5" customHeight="1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</row>
    <row r="1007" spans="1:14" ht="16.5" customHeight="1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</row>
    <row r="1008" spans="1:14" ht="16.5" customHeight="1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</row>
    <row r="1009" spans="1:14" ht="16.5" customHeight="1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</row>
    <row r="1010" spans="1:14" ht="16.5" customHeight="1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</row>
    <row r="1011" spans="1:14" ht="16.5" customHeight="1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</row>
    <row r="1012" spans="1:14" ht="16.5" customHeight="1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</row>
    <row r="1013" spans="1:14" ht="16.5" customHeight="1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</row>
    <row r="1014" spans="1:14" ht="16.5" customHeight="1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</row>
    <row r="1015" spans="1:14" ht="16.5" customHeight="1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</row>
    <row r="1016" spans="1:14" ht="16.5" customHeight="1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</row>
    <row r="1017" spans="1:14" ht="16.5" customHeight="1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</row>
    <row r="1018" spans="1:14" ht="16.5" customHeight="1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</row>
    <row r="1019" spans="1:14" ht="16.5" customHeight="1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</row>
    <row r="1020" spans="1:14" ht="16.5" customHeight="1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</row>
    <row r="1021" spans="1:14" ht="16.5" customHeight="1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</row>
    <row r="1022" spans="1:14" ht="16.5" customHeight="1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</row>
    <row r="1023" spans="1:14" ht="16.5" customHeight="1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</row>
    <row r="1024" spans="1:14" ht="16.5" customHeight="1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</row>
    <row r="1025" spans="1:14" ht="16.5" customHeight="1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</row>
    <row r="1026" spans="1:14" ht="16.5" customHeight="1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</row>
    <row r="1027" spans="1:14" ht="16.5" customHeight="1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</row>
    <row r="1028" spans="1:14" ht="16.5" customHeight="1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</row>
    <row r="1029" spans="1:14" ht="16.5" customHeight="1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</row>
    <row r="1030" spans="1:14" ht="16.5" customHeight="1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</row>
    <row r="1031" spans="1:14" ht="16.5" customHeight="1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</row>
    <row r="1032" spans="1:14" ht="16.5" customHeight="1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</row>
    <row r="1033" spans="1:14" ht="16.5" customHeight="1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</row>
    <row r="1034" spans="1:14" ht="16.5" customHeight="1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</row>
    <row r="1035" spans="1:14" ht="16.5" customHeight="1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</row>
    <row r="1036" spans="1:14" ht="16.5" customHeight="1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</row>
    <row r="1037" spans="1:14" ht="16.5" customHeight="1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</row>
    <row r="1038" spans="1:14" ht="16.5" customHeight="1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</row>
    <row r="1039" spans="1:14" ht="16.5" customHeight="1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</row>
    <row r="1040" spans="1:14" ht="16.5" customHeight="1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</row>
    <row r="1041" spans="1:14" ht="16.5" customHeight="1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</row>
    <row r="1042" spans="1:14" ht="16.5" customHeight="1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</row>
    <row r="1043" spans="1:14" ht="16.5" customHeight="1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</row>
    <row r="1044" spans="1:14" ht="16.5" customHeight="1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</row>
    <row r="1045" spans="1:14" ht="16.5" customHeight="1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</row>
    <row r="1046" spans="1:14" ht="16.5" customHeight="1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</row>
    <row r="1047" spans="1:14" ht="16.5" customHeight="1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</row>
    <row r="1048" spans="1:14" ht="16.5" customHeight="1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</row>
    <row r="1049" spans="1:14" ht="16.5" customHeight="1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</row>
    <row r="1050" spans="1:14" ht="16.5" customHeight="1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</row>
    <row r="1051" spans="1:14" ht="16.5" customHeight="1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</row>
    <row r="1052" spans="1:14" ht="16.5" customHeight="1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</row>
    <row r="1053" spans="1:14" ht="16.5" customHeight="1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</row>
    <row r="1054" spans="1:14" ht="16.5" customHeight="1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</row>
    <row r="1055" spans="1:14" ht="16.5" customHeight="1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</row>
    <row r="1056" spans="1:14" ht="16.5" customHeight="1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</row>
    <row r="1057" spans="1:14" ht="16.5" customHeight="1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</row>
    <row r="1058" spans="1:14" ht="16.5" customHeight="1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</row>
    <row r="1059" spans="1:14" ht="16.5" customHeight="1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</row>
    <row r="1060" spans="1:14" ht="16.5" customHeight="1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</row>
    <row r="1061" spans="1:14" ht="16.5" customHeight="1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</row>
    <row r="1062" spans="1:14" ht="16.5" customHeight="1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</row>
    <row r="1063" spans="1:14" ht="16.5" customHeight="1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</row>
    <row r="1064" spans="1:14" ht="16.5" customHeight="1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</row>
    <row r="1065" spans="1:14" ht="16.5" customHeight="1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</row>
    <row r="1066" spans="1:14" ht="16.5" customHeight="1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</row>
    <row r="1067" spans="1:14" ht="16.5" customHeight="1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</row>
    <row r="1068" spans="1:14" ht="16.5" customHeight="1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</row>
    <row r="1069" spans="1:14" ht="16.5" customHeight="1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</row>
    <row r="1070" spans="1:14" ht="16.5" customHeight="1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</row>
    <row r="1071" spans="1:14" ht="16.5" customHeight="1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</row>
    <row r="1072" spans="1:14" ht="16.5" customHeight="1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</row>
    <row r="1073" spans="1:14" ht="16.5" customHeight="1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</row>
    <row r="1074" spans="1:14" ht="16.5" customHeight="1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</row>
    <row r="1075" spans="1:14" ht="16.5" customHeight="1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</row>
    <row r="1076" spans="1:14" ht="16.5" customHeight="1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</row>
    <row r="1077" spans="1:14" ht="16.5" customHeight="1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</row>
    <row r="1078" spans="1:14" ht="16.5" customHeight="1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</row>
    <row r="1079" spans="1:14" ht="16.5" customHeight="1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</row>
    <row r="1080" spans="1:14" ht="16.5" customHeight="1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</row>
    <row r="1081" spans="1:14" ht="16.5" customHeight="1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</row>
    <row r="1082" spans="1:14" ht="16.5" customHeight="1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</row>
    <row r="1083" spans="1:14" ht="16.5" customHeight="1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</row>
    <row r="1084" spans="1:14" ht="16.5" customHeight="1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</row>
    <row r="1085" spans="1:14" ht="16.5" customHeight="1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</row>
    <row r="1086" spans="1:14" ht="16.5" customHeight="1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</row>
    <row r="1087" spans="1:14" ht="16.5" customHeight="1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</row>
    <row r="1088" spans="1:14" ht="16.5" customHeight="1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</row>
    <row r="1089" spans="1:14" ht="16.5" customHeight="1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</row>
    <row r="1090" spans="1:14" ht="16.5" customHeight="1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</row>
    <row r="1091" spans="1:14" ht="16.5" customHeight="1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</row>
    <row r="1092" spans="1:14" ht="16.5" customHeight="1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</row>
    <row r="1093" spans="1:14" ht="16.5" customHeight="1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</row>
    <row r="1094" spans="1:14" ht="16.5" customHeight="1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</row>
    <row r="1095" spans="1:14" ht="16.5" customHeight="1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</row>
    <row r="1096" spans="1:14" ht="16.5" customHeight="1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</row>
    <row r="1097" spans="1:14" ht="16.5" customHeight="1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</row>
    <row r="1098" spans="1:14" ht="16.5" customHeight="1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</row>
    <row r="1099" spans="1:14" ht="16.5" customHeight="1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</row>
    <row r="1100" spans="1:14" ht="16.5" customHeight="1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</row>
    <row r="1101" spans="1:14" ht="16.5" customHeight="1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</row>
    <row r="1102" spans="1:14" ht="16.5" customHeight="1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</row>
    <row r="1103" spans="1:14" ht="16.5" customHeight="1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</row>
    <row r="1104" spans="1:14" ht="16.5" customHeight="1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</row>
    <row r="1105" spans="1:14" ht="16.5" customHeight="1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</row>
    <row r="1106" spans="1:14" ht="16.5" customHeight="1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</row>
    <row r="1107" spans="1:14" ht="16.5" customHeight="1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</row>
    <row r="1108" spans="1:14" ht="16.5" customHeight="1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</row>
    <row r="1109" spans="1:14" ht="16.5" customHeight="1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</row>
    <row r="1110" spans="1:14" ht="16.5" customHeight="1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</row>
    <row r="1111" spans="1:14" ht="16.5" customHeight="1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</row>
    <row r="1112" spans="1:14" ht="16.5" customHeight="1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</row>
    <row r="1113" spans="1:14" ht="16.5" customHeight="1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</row>
    <row r="1114" spans="1:14" ht="16.5" customHeight="1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</row>
    <row r="1115" spans="1:14" ht="16.5" customHeight="1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</row>
    <row r="1116" spans="1:14" ht="16.5" customHeight="1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</row>
    <row r="1117" spans="1:14" ht="16.5" customHeight="1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</row>
    <row r="1118" spans="1:14" ht="16.5" customHeight="1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</row>
    <row r="1119" spans="1:14" ht="16.5" customHeight="1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</row>
    <row r="1120" spans="1:14" ht="16.5" customHeight="1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</row>
    <row r="1121" spans="1:14" ht="16.5" customHeight="1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</row>
    <row r="1122" spans="1:14" ht="16.5" customHeight="1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</row>
    <row r="1123" spans="1:14" ht="16.5" customHeight="1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</row>
    <row r="1124" spans="1:14" ht="16.5" customHeight="1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</row>
    <row r="1125" spans="1:14" ht="16.5" customHeight="1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</row>
    <row r="1126" spans="1:14" ht="16.5" customHeight="1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</row>
    <row r="1127" spans="1:14" ht="16.5" customHeight="1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</row>
    <row r="1128" spans="1:14" ht="16.5" customHeight="1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</row>
    <row r="1129" spans="1:14" ht="16.5" customHeight="1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</row>
    <row r="1130" spans="1:14" ht="16.5" customHeight="1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</row>
    <row r="1131" spans="1:14" ht="16.5" customHeight="1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</row>
    <row r="1132" spans="1:14" ht="16.5" customHeight="1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</row>
    <row r="1133" spans="1:14" ht="16.5" customHeight="1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</row>
    <row r="1134" spans="1:14" ht="16.5" customHeight="1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</row>
    <row r="1135" spans="1:14" ht="16.5" customHeight="1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</row>
    <row r="1136" spans="1:14" ht="16.5" customHeight="1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</row>
    <row r="1137" spans="1:14" ht="16.5" customHeight="1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</row>
    <row r="1138" spans="1:14" ht="16.5" customHeight="1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</row>
    <row r="1139" spans="1:14" ht="16.5" customHeight="1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</row>
    <row r="1140" spans="1:14" ht="16.5" customHeight="1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</row>
    <row r="1141" spans="1:14" ht="16.5" customHeight="1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</row>
    <row r="1142" spans="1:14" ht="16.5" customHeight="1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</row>
    <row r="1143" spans="1:14" ht="16.5" customHeight="1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</row>
    <row r="1144" spans="1:14" ht="16.5" customHeight="1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</row>
    <row r="1145" spans="1:14" ht="16.5" customHeight="1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</row>
    <row r="1146" spans="1:14" ht="16.5" customHeight="1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</row>
    <row r="1147" spans="1:14" ht="16.5" customHeight="1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</row>
    <row r="1148" spans="1:14" ht="16.5" customHeight="1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</row>
    <row r="1149" spans="1:14" ht="16.5" customHeight="1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</row>
    <row r="1150" spans="1:14" ht="16.5" customHeight="1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</row>
    <row r="1151" spans="1:14" ht="16.5" customHeight="1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</row>
    <row r="1152" spans="1:14" ht="16.5" customHeight="1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</row>
    <row r="1153" spans="1:14" ht="16.5" customHeight="1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</row>
    <row r="1154" spans="1:14" ht="16.5" customHeight="1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</row>
    <row r="1155" spans="1:14" ht="16.5" customHeight="1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</row>
    <row r="1156" spans="1:14" ht="16.5" customHeight="1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</row>
    <row r="1157" spans="1:14" ht="16.5" customHeight="1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</row>
    <row r="1158" spans="1:14" ht="16.5" customHeight="1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</row>
    <row r="1159" spans="1:14" ht="16.5" customHeight="1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</row>
    <row r="1160" spans="1:14" ht="16.5" customHeight="1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</row>
    <row r="1161" spans="1:14" ht="16.5" customHeight="1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</row>
    <row r="1162" spans="1:14" ht="16.5" customHeight="1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</row>
    <row r="1163" spans="1:14" ht="16.5" customHeight="1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</row>
    <row r="1164" spans="1:14" ht="16.5" customHeight="1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</row>
    <row r="1165" spans="1:14" ht="16.5" customHeight="1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</row>
    <row r="1166" spans="1:14" ht="16.5" customHeight="1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</row>
    <row r="1167" spans="1:14" ht="16.5" customHeight="1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</row>
    <row r="1168" spans="1:14" ht="16.5" customHeight="1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</row>
    <row r="1169" spans="1:14" ht="16.5" customHeight="1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</row>
    <row r="1170" spans="1:14" ht="16.5" customHeight="1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</row>
    <row r="1171" spans="1:14" ht="16.5" customHeight="1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</row>
    <row r="1172" spans="1:14" ht="16.5" customHeight="1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</row>
    <row r="1173" spans="1:14" ht="16.5" customHeight="1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</row>
    <row r="1174" spans="1:14" ht="16.5" customHeight="1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</row>
    <row r="1175" spans="1:14" ht="16.5" customHeight="1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</row>
    <row r="1176" spans="1:14" ht="16.5" customHeight="1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</row>
    <row r="1177" spans="1:14" ht="16.5" customHeight="1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</row>
    <row r="1178" spans="1:14" ht="16.5" customHeight="1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</row>
    <row r="1179" spans="1:14" ht="16.5" customHeight="1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</row>
    <row r="1180" spans="1:14" ht="16.5" customHeight="1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</row>
    <row r="1181" spans="1:14" ht="16.5" customHeight="1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</row>
    <row r="1182" spans="1:14" ht="16.5" customHeight="1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</row>
    <row r="1183" spans="1:14" ht="16.5" customHeight="1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</row>
    <row r="1184" spans="1:14" ht="16.5" customHeight="1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</row>
    <row r="1185" spans="1:14" ht="16.5" customHeight="1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</row>
    <row r="1186" spans="1:14" ht="16.5" customHeight="1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</row>
    <row r="1187" spans="1:14" ht="16.5" customHeight="1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</row>
    <row r="1188" spans="1:14" ht="16.5" customHeight="1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</row>
    <row r="1189" spans="1:14" ht="16.5" customHeight="1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</row>
    <row r="1190" spans="1:14" ht="16.5" customHeight="1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</row>
    <row r="1191" spans="1:14" ht="16.5" customHeight="1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</row>
    <row r="1192" spans="1:14" ht="16.5" customHeight="1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</row>
    <row r="1193" spans="1:14" ht="16.5" customHeight="1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</row>
    <row r="1194" spans="1:14" ht="16.5" customHeight="1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</row>
    <row r="1195" spans="1:14" ht="16.5" customHeight="1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</row>
    <row r="1196" spans="1:14" ht="16.5" customHeight="1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</row>
    <row r="1197" spans="1:14" ht="16.5" customHeight="1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</row>
    <row r="1198" spans="1:14" ht="16.5" customHeight="1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</row>
    <row r="1199" spans="1:14" ht="16.5" customHeight="1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</row>
    <row r="1200" spans="1:14" ht="16.5" customHeight="1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</row>
    <row r="1201" spans="1:14" ht="16.5" customHeight="1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</row>
    <row r="1202" spans="1:14" ht="16.5" customHeight="1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</row>
    <row r="1203" spans="1:14" ht="16.5" customHeight="1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</row>
    <row r="1204" spans="1:14" ht="16.5" customHeight="1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</row>
    <row r="1205" spans="1:14" ht="16.5" customHeight="1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</row>
    <row r="1206" spans="1:14" ht="16.5" customHeight="1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</row>
    <row r="1207" spans="1:14" ht="16.5" customHeight="1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</row>
    <row r="1208" spans="1:14" ht="16.5" customHeight="1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</row>
    <row r="1209" spans="1:14" ht="16.5" customHeight="1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</row>
    <row r="1210" spans="1:14" ht="16.5" customHeight="1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</row>
    <row r="1211" spans="1:14" ht="16.5" customHeight="1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</row>
    <row r="1212" spans="1:14" ht="16.5" customHeight="1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</row>
    <row r="1213" spans="1:14" ht="16.5" customHeight="1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</row>
    <row r="1214" spans="1:14" ht="16.5" customHeight="1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</row>
    <row r="1215" spans="1:14" ht="16.5" customHeight="1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</row>
    <row r="1216" spans="1:14" ht="16.5" customHeight="1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</row>
    <row r="1217" spans="1:14" ht="16.5" customHeight="1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</row>
    <row r="1218" spans="1:14" ht="16.5" customHeight="1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</row>
    <row r="1219" spans="1:14" ht="16.5" customHeight="1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</row>
    <row r="1220" spans="1:14" ht="16.5" customHeight="1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</row>
    <row r="1221" spans="1:14" ht="16.5" customHeight="1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</row>
    <row r="1222" spans="1:14" ht="16.5" customHeight="1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</row>
    <row r="1223" spans="1:14" ht="16.5" customHeight="1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</row>
    <row r="1224" spans="1:14" ht="16.5" customHeight="1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</row>
    <row r="1225" spans="1:14" ht="16.5" customHeight="1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</row>
    <row r="1226" spans="1:14" ht="16.5" customHeight="1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</row>
    <row r="1227" spans="1:14" ht="16.5" customHeight="1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</row>
    <row r="1228" spans="1:14" ht="16.5" customHeight="1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</row>
    <row r="1229" spans="1:14" ht="16.5" customHeight="1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</row>
    <row r="1230" spans="1:14" ht="16.5" customHeight="1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</row>
    <row r="1231" spans="1:14" ht="16.5" customHeight="1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</row>
    <row r="1232" spans="1:14" ht="16.5" customHeight="1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</row>
    <row r="1233" spans="1:14" ht="16.5" customHeight="1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</row>
    <row r="1234" spans="1:14" ht="16.5" customHeight="1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</row>
    <row r="1235" spans="1:14" ht="16.5" customHeight="1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</row>
    <row r="1236" spans="1:14" ht="16.5" customHeight="1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</row>
    <row r="1237" spans="1:14" ht="16.5" customHeight="1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</row>
    <row r="1238" spans="1:14" ht="16.5" customHeight="1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</row>
    <row r="1239" spans="1:14" ht="16.5" customHeight="1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</row>
    <row r="1240" spans="1:14" ht="16.5" customHeight="1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</row>
    <row r="1241" spans="1:14" ht="16.5" customHeight="1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</row>
    <row r="1242" spans="1:14" ht="16.5" customHeight="1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</row>
    <row r="1243" spans="1:14" ht="16.5" customHeight="1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</row>
    <row r="1244" spans="1:14" ht="16.5" customHeight="1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</row>
    <row r="1245" spans="1:14" ht="16.5" customHeight="1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</row>
    <row r="1246" spans="1:14" ht="16.5" customHeight="1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</row>
    <row r="1247" spans="1:14" ht="16.5" customHeight="1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</row>
    <row r="1248" spans="1:14" ht="16.5" customHeight="1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</row>
    <row r="1249" spans="1:14" ht="16.5" customHeight="1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</row>
    <row r="1250" spans="1:14" ht="16.5" customHeight="1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</row>
    <row r="1251" spans="1:14" ht="16.5" customHeight="1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</row>
    <row r="1252" spans="1:14" ht="16.5" customHeight="1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</row>
    <row r="1253" spans="1:14" ht="16.5" customHeight="1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</row>
    <row r="1254" spans="1:14" ht="16.5" customHeight="1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</row>
    <row r="1255" spans="1:14" ht="16.5" customHeight="1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</row>
    <row r="1256" spans="1:14" ht="16.5" customHeight="1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</row>
    <row r="1257" spans="1:14" ht="16.5" customHeight="1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</row>
    <row r="1258" spans="1:14" ht="16.5" customHeight="1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</row>
    <row r="1259" spans="1:14" ht="16.5" customHeight="1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</row>
    <row r="1260" spans="1:14" ht="16.5" customHeight="1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</row>
    <row r="1261" spans="1:14" ht="16.5" customHeight="1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</row>
    <row r="1262" spans="1:14" ht="16.5" customHeight="1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</row>
    <row r="1263" spans="1:14" ht="16.5" customHeight="1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</row>
    <row r="1264" spans="1:14" ht="16.5" customHeight="1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</row>
    <row r="1265" spans="1:14" ht="16.5" customHeight="1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</row>
    <row r="1266" spans="1:14" ht="16.5" customHeight="1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</row>
    <row r="1267" spans="1:14" ht="16.5" customHeight="1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</row>
    <row r="1268" spans="1:14" ht="16.5" customHeight="1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</row>
    <row r="1269" spans="1:14" ht="16.5" customHeight="1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</row>
    <row r="1270" spans="1:14" ht="16.5" customHeight="1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</row>
    <row r="1271" spans="1:14" ht="16.5" customHeight="1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</row>
    <row r="1272" spans="1:14" ht="16.5" customHeight="1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</row>
    <row r="1273" spans="1:14" ht="16.5" customHeight="1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</row>
    <row r="1274" spans="1:14" ht="16.5" customHeight="1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</row>
    <row r="1275" spans="1:14" ht="16.5" customHeight="1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</row>
    <row r="1276" spans="1:14" ht="16.5" customHeight="1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</row>
    <row r="1277" spans="1:14" ht="16.5" customHeight="1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</row>
    <row r="1278" spans="1:14" ht="16.5" customHeight="1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</row>
    <row r="1279" spans="1:14" ht="16.5" customHeight="1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</row>
    <row r="1280" spans="1:14" ht="16.5" customHeight="1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</row>
    <row r="1281" spans="1:14" ht="16.5" customHeight="1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</row>
    <row r="1282" spans="1:14" ht="16.5" customHeight="1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</row>
    <row r="1283" spans="1:14" ht="16.5" customHeight="1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</row>
    <row r="1284" spans="1:14" ht="16.5" customHeight="1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</row>
    <row r="1285" spans="1:14" ht="16.5" customHeight="1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</row>
    <row r="1286" spans="1:14" ht="16.5" customHeight="1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</row>
    <row r="1287" spans="1:14" ht="16.5" customHeight="1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</row>
    <row r="1288" spans="1:14" ht="16.5" customHeight="1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</row>
    <row r="1289" spans="1:14" ht="16.5" customHeight="1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</row>
    <row r="1290" spans="1:14" ht="16.5" customHeight="1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</row>
    <row r="1291" spans="1:14" ht="16.5" customHeight="1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</row>
    <row r="1292" spans="1:14" ht="16.5" customHeight="1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</row>
    <row r="1293" spans="1:14" ht="16.5" customHeight="1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</row>
    <row r="1294" spans="1:14" ht="16.5" customHeight="1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</row>
    <row r="1295" spans="1:14" ht="16.5" customHeight="1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</row>
    <row r="1296" spans="1:14" ht="16.5" customHeight="1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</row>
    <row r="1297" spans="1:14" ht="16.5" customHeight="1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</row>
    <row r="1298" spans="1:14" ht="16.5" customHeight="1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</row>
    <row r="1299" spans="1:14" ht="16.5" customHeight="1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</row>
    <row r="1300" spans="1:14" ht="16.5" customHeight="1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</row>
    <row r="1301" spans="1:14" ht="16.5" customHeight="1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</row>
    <row r="1302" spans="1:14" ht="16.5" customHeight="1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</row>
    <row r="1303" spans="1:14" ht="16.5" customHeight="1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</row>
    <row r="1304" spans="1:14" ht="16.5" customHeight="1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</row>
    <row r="1305" spans="1:14" ht="16.5" customHeight="1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</row>
    <row r="1306" spans="1:14" ht="16.5" customHeight="1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</row>
    <row r="1307" spans="1:14" ht="16.5" customHeight="1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</row>
    <row r="1308" spans="1:14" ht="16.5" customHeight="1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</row>
    <row r="1309" spans="1:14" ht="16.5" customHeight="1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</row>
    <row r="1310" spans="1:14" ht="16.5" customHeight="1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</row>
    <row r="1311" spans="1:14" ht="16.5" customHeight="1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</row>
    <row r="1312" spans="1:14" ht="16.5" customHeight="1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</row>
    <row r="1313" spans="1:14" ht="16.5" customHeight="1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</row>
    <row r="1314" spans="1:14" ht="16.5" customHeight="1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</row>
    <row r="1315" spans="1:14" ht="16.5" customHeight="1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</row>
    <row r="1316" spans="1:14" ht="16.5" customHeight="1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</row>
    <row r="1317" spans="1:14" ht="16.5" customHeight="1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</row>
    <row r="1318" spans="1:14" ht="16.5" customHeight="1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</row>
    <row r="1319" spans="1:14" ht="16.5" customHeight="1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</row>
    <row r="1320" spans="1:14" ht="16.5" customHeight="1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</row>
    <row r="1321" spans="1:14" ht="16.5" customHeight="1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</row>
    <row r="1322" spans="1:14" ht="16.5" customHeight="1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</row>
    <row r="1323" spans="1:14" ht="16.5" customHeight="1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</row>
    <row r="1324" spans="1:14" ht="16.5" customHeight="1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</row>
    <row r="1325" spans="1:14" ht="16.5" customHeight="1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</row>
    <row r="1326" spans="1:14" ht="16.5" customHeight="1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</row>
    <row r="1327" spans="1:14" ht="16.5" customHeight="1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</row>
    <row r="1328" spans="1:14" ht="16.5" customHeight="1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</row>
    <row r="1329" spans="1:14" ht="16.5" customHeight="1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</row>
    <row r="1330" spans="1:14" ht="16.5" customHeight="1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</row>
    <row r="1331" spans="1:14" ht="16.5" customHeight="1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</row>
    <row r="1332" spans="1:14" ht="16.5" customHeight="1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</row>
    <row r="1333" spans="1:14" ht="16.5" customHeight="1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</row>
    <row r="1334" spans="1:14" ht="16.5" customHeight="1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</row>
    <row r="1335" spans="1:14" ht="16.5" customHeight="1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</row>
    <row r="1336" spans="1:14" ht="16.5" customHeight="1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</row>
    <row r="1337" spans="1:14" ht="16.5" customHeight="1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</row>
    <row r="1338" spans="1:14" ht="16.5" customHeight="1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</row>
    <row r="1339" spans="1:14" ht="16.5" customHeight="1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</row>
    <row r="1340" spans="1:14" ht="16.5" customHeight="1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</row>
    <row r="1341" spans="1:14" ht="16.5" customHeight="1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</row>
    <row r="1342" spans="1:14" ht="16.5" customHeight="1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</row>
    <row r="1343" spans="1:14" ht="16.5" customHeight="1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</row>
    <row r="1344" spans="1:14" ht="16.5" customHeight="1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</row>
    <row r="1345" spans="1:14" ht="16.5" customHeight="1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</row>
    <row r="1346" spans="1:14" ht="16.5" customHeight="1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</row>
    <row r="1347" spans="1:14" ht="16.5" customHeight="1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</row>
    <row r="1348" spans="1:14" ht="16.5" customHeight="1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</row>
    <row r="1349" spans="1:14" ht="16.5" customHeight="1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</row>
    <row r="1350" spans="1:14" ht="16.5" customHeight="1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</row>
    <row r="1351" spans="1:14" ht="16.5" customHeight="1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</row>
    <row r="1352" spans="1:14" ht="16.5" customHeight="1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</row>
    <row r="1353" spans="1:14" ht="16.5" customHeight="1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</row>
    <row r="1354" spans="1:14" ht="16.5" customHeight="1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</row>
    <row r="1355" spans="1:14" ht="16.5" customHeight="1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</row>
    <row r="1356" spans="1:14" ht="16.5" customHeight="1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</row>
    <row r="1357" spans="1:14" ht="16.5" customHeight="1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</row>
    <row r="1358" spans="1:14" ht="16.5" customHeight="1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</row>
    <row r="1359" spans="1:14" ht="16.5" customHeight="1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</row>
    <row r="1360" spans="1:14" ht="16.5" customHeight="1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</row>
    <row r="1361" spans="1:14" ht="16.5" customHeight="1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</row>
    <row r="1362" spans="1:14" ht="16.5" customHeight="1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</row>
    <row r="1363" spans="1:14" ht="16.5" customHeight="1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</row>
    <row r="1364" spans="1:14" ht="16.5" customHeight="1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</row>
    <row r="1365" spans="1:14" ht="16.5" customHeight="1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</row>
    <row r="1366" spans="1:14" ht="16.5" customHeight="1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</row>
    <row r="1367" spans="1:14" ht="16.5" customHeight="1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</row>
    <row r="1368" spans="1:14" ht="16.5" customHeight="1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</row>
    <row r="1369" spans="1:14" ht="16.5" customHeight="1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</row>
    <row r="1370" spans="1:14" ht="16.5" customHeight="1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</row>
    <row r="1371" spans="1:14" ht="16.5" customHeight="1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</row>
    <row r="1372" spans="1:14" ht="16.5" customHeight="1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</row>
    <row r="1373" spans="1:14" ht="16.5" customHeight="1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</row>
    <row r="1374" spans="1:14" ht="16.5" customHeight="1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</row>
    <row r="1375" spans="1:14" ht="16.5" customHeight="1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</row>
    <row r="1376" spans="1:14" ht="16.5" customHeight="1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</row>
    <row r="1377" spans="1:14" ht="16.5" customHeight="1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</row>
    <row r="1378" spans="1:14" ht="16.5" customHeight="1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</row>
    <row r="1379" spans="1:14" ht="16.5" customHeight="1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</row>
    <row r="1380" spans="1:14" ht="16.5" customHeight="1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</row>
    <row r="1381" spans="1:14" ht="16.5" customHeight="1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</row>
    <row r="1382" spans="1:14" ht="16.5" customHeight="1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</row>
    <row r="1383" spans="1:14" ht="16.5" customHeight="1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</row>
    <row r="1384" spans="1:14" ht="16.5" customHeight="1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</row>
    <row r="1385" spans="1:14" ht="16.5" customHeight="1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</row>
    <row r="1386" spans="1:14" ht="16.5" customHeight="1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</row>
    <row r="1387" spans="1:14" ht="16.5" customHeight="1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</row>
    <row r="1388" spans="1:14" ht="16.5" customHeight="1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</row>
    <row r="1389" spans="1:14" ht="16.5" customHeight="1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</row>
    <row r="1390" spans="1:14" ht="16.5" customHeight="1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</row>
    <row r="1391" spans="1:14" ht="16.5" customHeight="1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</row>
    <row r="1392" spans="1:14" ht="16.5" customHeight="1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</row>
    <row r="1393" spans="1:14" ht="16.5" customHeight="1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</row>
    <row r="1394" spans="1:14" ht="16.5" customHeight="1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</row>
    <row r="1395" spans="1:14" ht="16.5" customHeight="1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</row>
    <row r="1396" spans="1:14" ht="16.5" customHeight="1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</row>
    <row r="1397" spans="1:14" ht="16.5" customHeight="1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</row>
    <row r="1398" spans="1:14" ht="16.5" customHeight="1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</row>
    <row r="1399" spans="1:14" ht="16.5" customHeight="1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</row>
    <row r="1400" spans="1:14" ht="16.5" customHeight="1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</row>
    <row r="1401" spans="1:14" ht="16.5" customHeight="1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</row>
    <row r="1402" spans="1:14" ht="16.5" customHeight="1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</row>
    <row r="1403" spans="1:14" ht="16.5" customHeight="1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</row>
    <row r="1404" spans="1:14" ht="16.5" customHeight="1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</row>
    <row r="1405" spans="1:14" ht="16.5" customHeight="1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</row>
    <row r="1406" spans="1:14" ht="16.5" customHeight="1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</row>
    <row r="1407" spans="1:14" ht="16.5" customHeight="1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</row>
    <row r="1408" spans="1:14" ht="16.5" customHeight="1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</row>
    <row r="1409" spans="1:14" ht="16.5" customHeight="1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</row>
    <row r="1410" spans="1:14" ht="16.5" customHeight="1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</row>
    <row r="1411" spans="1:14" ht="16.5" customHeight="1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</row>
    <row r="1412" spans="1:14" ht="16.5" customHeight="1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</row>
    <row r="1413" spans="1:14" ht="16.5" customHeight="1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</row>
    <row r="1414" spans="1:14" ht="16.5" customHeight="1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</row>
    <row r="1415" spans="1:14" ht="16.5" customHeight="1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</row>
    <row r="1416" spans="1:14" ht="16.5" customHeight="1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</row>
    <row r="1417" spans="1:14" ht="16.5" customHeight="1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</row>
    <row r="1418" spans="1:14" ht="16.5" customHeight="1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</row>
    <row r="1419" spans="1:14" ht="16.5" customHeight="1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</row>
    <row r="1420" spans="1:14" ht="16.5" customHeight="1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</row>
    <row r="1421" spans="1:14" ht="16.5" customHeight="1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</row>
    <row r="1422" spans="1:14" ht="16.5" customHeight="1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</row>
    <row r="1423" spans="1:14" ht="16.5" customHeight="1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</row>
    <row r="1424" spans="1:14" ht="16.5" customHeight="1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</row>
    <row r="1425" spans="1:14" ht="16.5" customHeight="1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</row>
    <row r="1426" spans="1:14" ht="16.5" customHeight="1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</row>
    <row r="1427" spans="1:14" ht="16.5" customHeight="1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</row>
    <row r="1428" spans="1:14" ht="16.5" customHeight="1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</row>
    <row r="1429" spans="1:14" ht="16.5" customHeight="1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</row>
    <row r="1430" spans="1:14" ht="16.5" customHeight="1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</row>
    <row r="1431" spans="1:14" ht="16.5" customHeight="1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</row>
    <row r="1432" spans="1:14" ht="16.5" customHeight="1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</row>
    <row r="1433" spans="1:14" ht="16.5" customHeight="1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</row>
    <row r="1434" spans="1:14" ht="16.5" customHeight="1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</row>
    <row r="1435" spans="1:14" ht="16.5" customHeight="1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</row>
    <row r="1436" spans="1:14" ht="16.5" customHeight="1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</row>
    <row r="1437" spans="1:14" ht="16.5" customHeight="1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</row>
    <row r="1438" spans="1:14" ht="16.5" customHeight="1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</row>
    <row r="1439" spans="1:14" ht="16.5" customHeight="1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</row>
    <row r="1440" spans="1:14" ht="16.5" customHeight="1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</row>
    <row r="1441" spans="1:14" ht="16.5" customHeight="1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</row>
    <row r="1442" spans="1:14" ht="16.5" customHeight="1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</row>
    <row r="1443" spans="1:14" ht="16.5" customHeight="1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</row>
    <row r="1444" spans="1:14" ht="16.5" customHeight="1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</row>
    <row r="1445" spans="1:14" ht="16.5" customHeight="1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</row>
    <row r="1446" spans="1:14" ht="16.5" customHeight="1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</row>
    <row r="1447" spans="1:14" ht="16.5" customHeight="1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</row>
    <row r="1448" spans="1:14" ht="16.5" customHeight="1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</row>
    <row r="1449" spans="1:14" ht="16.5" customHeight="1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</row>
    <row r="1450" spans="1:14" ht="16.5" customHeight="1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</row>
    <row r="1451" spans="1:14" ht="16.5" customHeight="1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</row>
    <row r="1452" spans="1:14" ht="16.5" customHeight="1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</row>
    <row r="1453" spans="1:14" ht="16.5" customHeight="1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</row>
    <row r="1454" spans="1:14" ht="16.5" customHeight="1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</row>
    <row r="1455" spans="1:14" ht="16.5" customHeight="1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</row>
    <row r="1456" spans="1:14" ht="16.5" customHeight="1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</row>
    <row r="1457" spans="1:14" ht="16.5" customHeight="1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</row>
    <row r="1458" spans="1:14" ht="16.5" customHeight="1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</row>
    <row r="1459" spans="1:14" ht="16.5" customHeight="1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</row>
    <row r="1460" spans="1:14" ht="16.5" customHeight="1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</row>
    <row r="1461" spans="1:14" ht="16.5" customHeight="1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</row>
    <row r="1462" spans="1:14" ht="16.5" customHeight="1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</row>
    <row r="1463" spans="1:14" ht="16.5" customHeight="1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</row>
    <row r="1464" spans="1:14" ht="16.5" customHeight="1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</row>
    <row r="1465" spans="1:14" ht="16.5" customHeight="1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</row>
    <row r="1466" spans="1:14" ht="16.5" customHeight="1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</row>
    <row r="1467" spans="1:14" ht="16.5" customHeight="1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</row>
    <row r="1468" spans="1:14" ht="16.5" customHeight="1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</row>
    <row r="1469" spans="1:14" ht="16.5" customHeight="1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</row>
    <row r="1470" spans="1:14" ht="16.5" customHeight="1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</row>
    <row r="1471" spans="1:14" ht="16.5" customHeight="1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</row>
    <row r="1472" spans="1:14" ht="16.5" customHeight="1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</row>
    <row r="1473" spans="1:14" ht="16.5" customHeight="1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</row>
    <row r="1474" spans="1:14" ht="16.5" customHeight="1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</row>
    <row r="1475" spans="1:14" ht="16.5" customHeight="1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</row>
    <row r="1476" spans="1:14" ht="16.5" customHeight="1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</row>
    <row r="1477" spans="1:14" ht="16.5" customHeight="1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</row>
    <row r="1478" spans="1:14" ht="16.5" customHeight="1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</row>
    <row r="1479" spans="1:14" ht="16.5" customHeight="1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</row>
    <row r="1480" spans="1:14" ht="16.5" customHeight="1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</row>
    <row r="1481" spans="1:14" ht="16.5" customHeight="1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</row>
    <row r="1482" spans="1:14" ht="16.5" customHeight="1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</row>
    <row r="1483" spans="1:14" ht="16.5" customHeight="1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</row>
    <row r="1484" spans="1:14" ht="16.5" customHeight="1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</row>
    <row r="1485" spans="1:14" ht="16.5" customHeight="1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</row>
    <row r="1486" spans="1:14" ht="16.5" customHeight="1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</row>
    <row r="1487" spans="1:14" ht="16.5" customHeight="1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</row>
    <row r="1488" spans="1:14" ht="16.5" customHeight="1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</row>
    <row r="1489" spans="1:14" ht="16.5" customHeight="1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</row>
    <row r="1490" spans="1:14" ht="16.5" customHeight="1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</row>
    <row r="1491" spans="1:14" ht="16.5" customHeight="1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</row>
    <row r="1492" spans="1:14" ht="16.5" customHeight="1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</row>
    <row r="1493" spans="1:14" ht="16.5" customHeight="1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</row>
    <row r="1494" spans="1:14" ht="16.5" customHeight="1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</row>
    <row r="1495" spans="1:14" ht="16.5" customHeight="1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</row>
    <row r="1496" spans="1:14" ht="16.5" customHeight="1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</row>
    <row r="1497" spans="1:14" ht="16.5" customHeight="1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</row>
    <row r="1498" spans="1:14" ht="16.5" customHeight="1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</row>
    <row r="1499" spans="1:14" ht="16.5" customHeight="1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</row>
    <row r="1500" spans="1:14" ht="16.5" customHeight="1">
      <c r="A1500" s="3"/>
      <c r="B1500" s="3"/>
      <c r="C1500" s="3"/>
      <c r="D1500" s="3"/>
      <c r="E1500" s="3"/>
      <c r="F1500" s="3"/>
      <c r="G1500" s="3"/>
      <c r="H1500" s="3"/>
      <c r="I1500" s="3"/>
      <c r="J1500" s="3"/>
      <c r="K1500" s="3"/>
      <c r="L1500" s="3"/>
      <c r="M1500" s="3"/>
      <c r="N1500" s="3"/>
    </row>
    <row r="1501" spans="1:14" ht="16.5" customHeight="1">
      <c r="A1501" s="3"/>
      <c r="B1501" s="3"/>
      <c r="C1501" s="3"/>
      <c r="D1501" s="3"/>
      <c r="E1501" s="3"/>
      <c r="F1501" s="3"/>
      <c r="G1501" s="3"/>
      <c r="H1501" s="3"/>
      <c r="I1501" s="3"/>
      <c r="J1501" s="3"/>
      <c r="K1501" s="3"/>
      <c r="L1501" s="3"/>
      <c r="M1501" s="3"/>
      <c r="N1501" s="3"/>
    </row>
    <row r="1502" spans="1:14" ht="16.5" customHeight="1">
      <c r="A1502" s="3"/>
      <c r="B1502" s="3"/>
      <c r="C1502" s="3"/>
      <c r="D1502" s="3"/>
      <c r="E1502" s="3"/>
      <c r="F1502" s="3"/>
      <c r="G1502" s="3"/>
      <c r="H1502" s="3"/>
      <c r="I1502" s="3"/>
      <c r="J1502" s="3"/>
      <c r="K1502" s="3"/>
      <c r="L1502" s="3"/>
      <c r="M1502" s="3"/>
      <c r="N1502" s="3"/>
    </row>
    <row r="1503" spans="1:14" ht="16.5" customHeight="1">
      <c r="A1503" s="3"/>
      <c r="B1503" s="3"/>
      <c r="C1503" s="3"/>
      <c r="D1503" s="3"/>
      <c r="E1503" s="3"/>
      <c r="F1503" s="3"/>
      <c r="G1503" s="3"/>
      <c r="H1503" s="3"/>
      <c r="I1503" s="3"/>
      <c r="J1503" s="3"/>
      <c r="K1503" s="3"/>
      <c r="L1503" s="3"/>
      <c r="M1503" s="3"/>
      <c r="N1503" s="3"/>
    </row>
    <row r="1504" spans="1:14" ht="16.5" customHeight="1">
      <c r="A1504" s="3"/>
      <c r="B1504" s="3"/>
      <c r="C1504" s="3"/>
      <c r="D1504" s="3"/>
      <c r="E1504" s="3"/>
      <c r="F1504" s="3"/>
      <c r="G1504" s="3"/>
      <c r="H1504" s="3"/>
      <c r="I1504" s="3"/>
      <c r="J1504" s="3"/>
      <c r="K1504" s="3"/>
      <c r="L1504" s="3"/>
      <c r="M1504" s="3"/>
      <c r="N1504" s="3"/>
    </row>
    <row r="1505" spans="1:14" ht="16.5" customHeight="1">
      <c r="A1505" s="3"/>
      <c r="B1505" s="3"/>
      <c r="C1505" s="3"/>
      <c r="D1505" s="3"/>
      <c r="E1505" s="3"/>
      <c r="F1505" s="3"/>
      <c r="G1505" s="3"/>
      <c r="H1505" s="3"/>
      <c r="I1505" s="3"/>
      <c r="J1505" s="3"/>
      <c r="K1505" s="3"/>
      <c r="L1505" s="3"/>
      <c r="M1505" s="3"/>
      <c r="N1505" s="3"/>
    </row>
    <row r="1506" spans="1:14" ht="16.5" customHeight="1">
      <c r="A1506" s="3"/>
      <c r="B1506" s="3"/>
      <c r="C1506" s="3"/>
      <c r="D1506" s="3"/>
      <c r="E1506" s="3"/>
      <c r="F1506" s="3"/>
      <c r="G1506" s="3"/>
      <c r="H1506" s="3"/>
      <c r="I1506" s="3"/>
      <c r="J1506" s="3"/>
      <c r="K1506" s="3"/>
      <c r="L1506" s="3"/>
      <c r="M1506" s="3"/>
      <c r="N1506" s="3"/>
    </row>
    <row r="1507" spans="1:14" ht="16.5" customHeight="1">
      <c r="A1507" s="3"/>
      <c r="B1507" s="3"/>
      <c r="C1507" s="3"/>
      <c r="D1507" s="3"/>
      <c r="E1507" s="3"/>
      <c r="F1507" s="3"/>
      <c r="G1507" s="3"/>
      <c r="H1507" s="3"/>
      <c r="I1507" s="3"/>
      <c r="J1507" s="3"/>
      <c r="K1507" s="3"/>
      <c r="L1507" s="3"/>
      <c r="M1507" s="3"/>
      <c r="N1507" s="3"/>
    </row>
    <row r="1508" spans="1:14" ht="16.5" customHeight="1">
      <c r="A1508" s="3"/>
      <c r="B1508" s="3"/>
      <c r="C1508" s="3"/>
      <c r="D1508" s="3"/>
      <c r="E1508" s="3"/>
      <c r="F1508" s="3"/>
      <c r="G1508" s="3"/>
      <c r="H1508" s="3"/>
      <c r="I1508" s="3"/>
      <c r="J1508" s="3"/>
      <c r="K1508" s="3"/>
      <c r="L1508" s="3"/>
      <c r="M1508" s="3"/>
      <c r="N1508" s="3"/>
    </row>
    <row r="1509" spans="1:14" ht="16.5" customHeight="1">
      <c r="A1509" s="3"/>
      <c r="B1509" s="3"/>
      <c r="C1509" s="3"/>
      <c r="D1509" s="3"/>
      <c r="E1509" s="3"/>
      <c r="F1509" s="3"/>
      <c r="G1509" s="3"/>
      <c r="H1509" s="3"/>
      <c r="I1509" s="3"/>
      <c r="J1509" s="3"/>
      <c r="K1509" s="3"/>
      <c r="L1509" s="3"/>
      <c r="M1509" s="3"/>
      <c r="N1509" s="3"/>
    </row>
    <row r="1510" spans="1:14" ht="16.5" customHeight="1">
      <c r="A1510" s="3"/>
      <c r="B1510" s="3"/>
      <c r="C1510" s="3"/>
      <c r="D1510" s="3"/>
      <c r="E1510" s="3"/>
      <c r="F1510" s="3"/>
      <c r="G1510" s="3"/>
      <c r="H1510" s="3"/>
      <c r="I1510" s="3"/>
      <c r="J1510" s="3"/>
      <c r="K1510" s="3"/>
      <c r="L1510" s="3"/>
      <c r="M1510" s="3"/>
      <c r="N1510" s="3"/>
    </row>
    <row r="1511" spans="1:14" ht="16.5" customHeight="1">
      <c r="A1511" s="3"/>
      <c r="B1511" s="3"/>
      <c r="C1511" s="3"/>
      <c r="D1511" s="3"/>
      <c r="E1511" s="3"/>
      <c r="F1511" s="3"/>
      <c r="G1511" s="3"/>
      <c r="H1511" s="3"/>
      <c r="I1511" s="3"/>
      <c r="J1511" s="3"/>
      <c r="K1511" s="3"/>
      <c r="L1511" s="3"/>
      <c r="M1511" s="3"/>
      <c r="N1511" s="3"/>
    </row>
    <row r="1512" spans="1:14" ht="16.5" customHeight="1">
      <c r="A1512" s="3"/>
      <c r="B1512" s="3"/>
      <c r="C1512" s="3"/>
      <c r="D1512" s="3"/>
      <c r="E1512" s="3"/>
      <c r="F1512" s="3"/>
      <c r="G1512" s="3"/>
      <c r="H1512" s="3"/>
      <c r="I1512" s="3"/>
      <c r="J1512" s="3"/>
      <c r="K1512" s="3"/>
      <c r="L1512" s="3"/>
      <c r="M1512" s="3"/>
      <c r="N1512" s="3"/>
    </row>
    <row r="1513" spans="1:14" ht="16.5" customHeight="1">
      <c r="A1513" s="3"/>
      <c r="B1513" s="3"/>
      <c r="C1513" s="3"/>
      <c r="D1513" s="3"/>
      <c r="E1513" s="3"/>
      <c r="F1513" s="3"/>
      <c r="G1513" s="3"/>
      <c r="H1513" s="3"/>
      <c r="I1513" s="3"/>
      <c r="J1513" s="3"/>
      <c r="K1513" s="3"/>
      <c r="L1513" s="3"/>
      <c r="M1513" s="3"/>
      <c r="N1513" s="3"/>
    </row>
    <row r="1514" spans="1:14" ht="16.5" customHeight="1">
      <c r="A1514" s="3"/>
      <c r="B1514" s="3"/>
      <c r="C1514" s="3"/>
      <c r="D1514" s="3"/>
      <c r="E1514" s="3"/>
      <c r="F1514" s="3"/>
      <c r="G1514" s="3"/>
      <c r="H1514" s="3"/>
      <c r="I1514" s="3"/>
      <c r="J1514" s="3"/>
      <c r="K1514" s="3"/>
      <c r="L1514" s="3"/>
      <c r="M1514" s="3"/>
      <c r="N1514" s="3"/>
    </row>
    <row r="1515" spans="1:14" ht="16.5" customHeight="1">
      <c r="A1515" s="3"/>
      <c r="B1515" s="3"/>
      <c r="C1515" s="3"/>
      <c r="D1515" s="3"/>
      <c r="E1515" s="3"/>
      <c r="F1515" s="3"/>
      <c r="G1515" s="3"/>
      <c r="H1515" s="3"/>
      <c r="I1515" s="3"/>
      <c r="J1515" s="3"/>
      <c r="K1515" s="3"/>
      <c r="L1515" s="3"/>
      <c r="M1515" s="3"/>
      <c r="N1515" s="3"/>
    </row>
    <row r="1516" spans="1:14" ht="16.5" customHeight="1">
      <c r="A1516" s="3"/>
      <c r="B1516" s="3"/>
      <c r="C1516" s="3"/>
      <c r="D1516" s="3"/>
      <c r="E1516" s="3"/>
      <c r="F1516" s="3"/>
      <c r="G1516" s="3"/>
      <c r="H1516" s="3"/>
      <c r="I1516" s="3"/>
      <c r="J1516" s="3"/>
      <c r="K1516" s="3"/>
      <c r="L1516" s="3"/>
      <c r="M1516" s="3"/>
      <c r="N1516" s="3"/>
    </row>
    <row r="1517" spans="1:14" ht="16.5" customHeight="1">
      <c r="A1517" s="3"/>
      <c r="B1517" s="3"/>
      <c r="C1517" s="3"/>
      <c r="D1517" s="3"/>
      <c r="E1517" s="3"/>
      <c r="F1517" s="3"/>
      <c r="G1517" s="3"/>
      <c r="H1517" s="3"/>
      <c r="I1517" s="3"/>
      <c r="J1517" s="3"/>
      <c r="K1517" s="3"/>
      <c r="L1517" s="3"/>
      <c r="M1517" s="3"/>
      <c r="N1517" s="3"/>
    </row>
    <row r="1518" spans="1:14" ht="16.5" customHeight="1">
      <c r="A1518" s="3"/>
      <c r="B1518" s="3"/>
      <c r="C1518" s="3"/>
      <c r="D1518" s="3"/>
      <c r="E1518" s="3"/>
      <c r="F1518" s="3"/>
      <c r="G1518" s="3"/>
      <c r="H1518" s="3"/>
      <c r="I1518" s="3"/>
      <c r="J1518" s="3"/>
      <c r="K1518" s="3"/>
      <c r="L1518" s="3"/>
      <c r="M1518" s="3"/>
      <c r="N1518" s="3"/>
    </row>
    <row r="1519" spans="1:14" ht="16.5" customHeight="1">
      <c r="A1519" s="3"/>
      <c r="B1519" s="3"/>
      <c r="C1519" s="3"/>
      <c r="D1519" s="3"/>
      <c r="E1519" s="3"/>
      <c r="F1519" s="3"/>
      <c r="G1519" s="3"/>
      <c r="H1519" s="3"/>
      <c r="I1519" s="3"/>
      <c r="J1519" s="3"/>
      <c r="K1519" s="3"/>
      <c r="L1519" s="3"/>
      <c r="M1519" s="3"/>
      <c r="N1519" s="3"/>
    </row>
    <row r="1520" spans="1:14" ht="16.5" customHeight="1">
      <c r="A1520" s="3"/>
      <c r="B1520" s="3"/>
      <c r="C1520" s="3"/>
      <c r="D1520" s="3"/>
      <c r="E1520" s="3"/>
      <c r="F1520" s="3"/>
      <c r="G1520" s="3"/>
      <c r="H1520" s="3"/>
      <c r="I1520" s="3"/>
      <c r="J1520" s="3"/>
      <c r="K1520" s="3"/>
      <c r="L1520" s="3"/>
      <c r="M1520" s="3"/>
      <c r="N1520" s="3"/>
    </row>
    <row r="1521" spans="1:14" ht="16.5" customHeight="1">
      <c r="A1521" s="3"/>
      <c r="B1521" s="3"/>
      <c r="C1521" s="3"/>
      <c r="D1521" s="3"/>
      <c r="E1521" s="3"/>
      <c r="F1521" s="3"/>
      <c r="G1521" s="3"/>
      <c r="H1521" s="3"/>
      <c r="I1521" s="3"/>
      <c r="J1521" s="3"/>
      <c r="K1521" s="3"/>
      <c r="L1521" s="3"/>
      <c r="M1521" s="3"/>
      <c r="N1521" s="3"/>
    </row>
    <row r="1522" spans="1:14" ht="16.5" customHeight="1">
      <c r="A1522" s="3"/>
      <c r="B1522" s="3"/>
      <c r="C1522" s="3"/>
      <c r="D1522" s="3"/>
      <c r="E1522" s="3"/>
      <c r="F1522" s="3"/>
      <c r="G1522" s="3"/>
      <c r="H1522" s="3"/>
      <c r="I1522" s="3"/>
      <c r="J1522" s="3"/>
      <c r="K1522" s="3"/>
      <c r="L1522" s="3"/>
      <c r="M1522" s="3"/>
      <c r="N1522" s="3"/>
    </row>
    <row r="1523" spans="1:14" ht="16.5" customHeight="1">
      <c r="A1523" s="3"/>
      <c r="B1523" s="3"/>
      <c r="C1523" s="3"/>
      <c r="D1523" s="3"/>
      <c r="E1523" s="3"/>
      <c r="F1523" s="3"/>
      <c r="G1523" s="3"/>
      <c r="H1523" s="3"/>
      <c r="I1523" s="3"/>
      <c r="J1523" s="3"/>
      <c r="K1523" s="3"/>
      <c r="L1523" s="3"/>
      <c r="M1523" s="3"/>
      <c r="N1523" s="3"/>
    </row>
    <row r="1524" spans="1:14" ht="16.5" customHeight="1">
      <c r="A1524" s="3"/>
      <c r="B1524" s="3"/>
      <c r="C1524" s="3"/>
      <c r="D1524" s="3"/>
      <c r="E1524" s="3"/>
      <c r="F1524" s="3"/>
      <c r="G1524" s="3"/>
      <c r="H1524" s="3"/>
      <c r="I1524" s="3"/>
      <c r="J1524" s="3"/>
      <c r="K1524" s="3"/>
      <c r="L1524" s="3"/>
      <c r="M1524" s="3"/>
      <c r="N1524" s="3"/>
    </row>
    <row r="1525" spans="1:14" ht="16.5" customHeight="1">
      <c r="A1525" s="3"/>
      <c r="B1525" s="3"/>
      <c r="C1525" s="3"/>
      <c r="D1525" s="3"/>
      <c r="E1525" s="3"/>
      <c r="F1525" s="3"/>
      <c r="G1525" s="3"/>
      <c r="H1525" s="3"/>
      <c r="I1525" s="3"/>
      <c r="J1525" s="3"/>
      <c r="K1525" s="3"/>
      <c r="L1525" s="3"/>
      <c r="M1525" s="3"/>
      <c r="N1525" s="3"/>
    </row>
    <row r="1526" spans="1:14" ht="16.5" customHeight="1">
      <c r="A1526" s="3"/>
      <c r="B1526" s="3"/>
      <c r="C1526" s="3"/>
      <c r="D1526" s="3"/>
      <c r="E1526" s="3"/>
      <c r="F1526" s="3"/>
      <c r="G1526" s="3"/>
      <c r="H1526" s="3"/>
      <c r="I1526" s="3"/>
      <c r="J1526" s="3"/>
      <c r="K1526" s="3"/>
      <c r="L1526" s="3"/>
      <c r="M1526" s="3"/>
      <c r="N1526" s="3"/>
    </row>
    <row r="1527" spans="1:14" ht="16.5" customHeight="1">
      <c r="A1527" s="3"/>
      <c r="B1527" s="3"/>
      <c r="C1527" s="3"/>
      <c r="D1527" s="3"/>
      <c r="E1527" s="3"/>
      <c r="F1527" s="3"/>
      <c r="G1527" s="3"/>
      <c r="H1527" s="3"/>
      <c r="I1527" s="3"/>
      <c r="J1527" s="3"/>
      <c r="K1527" s="3"/>
      <c r="L1527" s="3"/>
      <c r="M1527" s="3"/>
      <c r="N1527" s="3"/>
    </row>
    <row r="1528" spans="1:14" ht="16.5" customHeight="1">
      <c r="A1528" s="3"/>
      <c r="B1528" s="3"/>
      <c r="C1528" s="3"/>
      <c r="D1528" s="3"/>
      <c r="E1528" s="3"/>
      <c r="F1528" s="3"/>
      <c r="G1528" s="3"/>
      <c r="H1528" s="3"/>
      <c r="I1528" s="3"/>
      <c r="J1528" s="3"/>
      <c r="K1528" s="3"/>
      <c r="L1528" s="3"/>
      <c r="M1528" s="3"/>
      <c r="N1528" s="3"/>
    </row>
    <row r="1529" spans="1:14" ht="16.5" customHeight="1">
      <c r="A1529" s="3"/>
      <c r="B1529" s="3"/>
      <c r="C1529" s="3"/>
      <c r="D1529" s="3"/>
      <c r="E1529" s="3"/>
      <c r="F1529" s="3"/>
      <c r="G1529" s="3"/>
      <c r="H1529" s="3"/>
      <c r="I1529" s="3"/>
      <c r="J1529" s="3"/>
      <c r="K1529" s="3"/>
      <c r="L1529" s="3"/>
      <c r="M1529" s="3"/>
      <c r="N1529" s="3"/>
    </row>
    <row r="1530" spans="1:14" ht="16.5" customHeight="1">
      <c r="A1530" s="3"/>
      <c r="B1530" s="3"/>
      <c r="C1530" s="3"/>
      <c r="D1530" s="3"/>
      <c r="E1530" s="3"/>
      <c r="F1530" s="3"/>
      <c r="G1530" s="3"/>
      <c r="H1530" s="3"/>
      <c r="I1530" s="3"/>
      <c r="J1530" s="3"/>
      <c r="K1530" s="3"/>
      <c r="L1530" s="3"/>
      <c r="M1530" s="3"/>
      <c r="N1530" s="3"/>
    </row>
    <row r="1531" spans="1:14" ht="16.5" customHeight="1">
      <c r="A1531" s="3"/>
      <c r="B1531" s="3"/>
      <c r="C1531" s="3"/>
      <c r="D1531" s="3"/>
      <c r="E1531" s="3"/>
      <c r="F1531" s="3"/>
      <c r="G1531" s="3"/>
      <c r="H1531" s="3"/>
      <c r="I1531" s="3"/>
      <c r="J1531" s="3"/>
      <c r="K1531" s="3"/>
      <c r="L1531" s="3"/>
      <c r="M1531" s="3"/>
      <c r="N1531" s="3"/>
    </row>
    <row r="1532" spans="1:14" ht="16.5" customHeight="1">
      <c r="A1532" s="3"/>
      <c r="B1532" s="3"/>
      <c r="C1532" s="3"/>
      <c r="D1532" s="3"/>
      <c r="E1532" s="3"/>
      <c r="F1532" s="3"/>
      <c r="G1532" s="3"/>
      <c r="H1532" s="3"/>
      <c r="I1532" s="3"/>
      <c r="J1532" s="3"/>
      <c r="K1532" s="3"/>
      <c r="L1532" s="3"/>
      <c r="M1532" s="3"/>
      <c r="N1532" s="3"/>
    </row>
    <row r="1533" spans="1:14" ht="16.5" customHeight="1">
      <c r="A1533" s="3"/>
      <c r="B1533" s="3"/>
      <c r="C1533" s="3"/>
      <c r="D1533" s="3"/>
      <c r="E1533" s="3"/>
      <c r="F1533" s="3"/>
      <c r="G1533" s="3"/>
      <c r="H1533" s="3"/>
      <c r="I1533" s="3"/>
      <c r="J1533" s="3"/>
      <c r="K1533" s="3"/>
      <c r="L1533" s="3"/>
      <c r="M1533" s="3"/>
      <c r="N1533" s="3"/>
    </row>
    <row r="1534" spans="1:14" ht="16.5" customHeight="1">
      <c r="A1534" s="3"/>
      <c r="B1534" s="3"/>
      <c r="C1534" s="3"/>
      <c r="D1534" s="3"/>
      <c r="E1534" s="3"/>
      <c r="F1534" s="3"/>
      <c r="G1534" s="3"/>
      <c r="H1534" s="3"/>
      <c r="I1534" s="3"/>
      <c r="J1534" s="3"/>
      <c r="K1534" s="3"/>
      <c r="L1534" s="3"/>
      <c r="M1534" s="3"/>
      <c r="N1534" s="3"/>
    </row>
    <row r="1535" spans="1:14" ht="16.5" customHeight="1">
      <c r="A1535" s="3"/>
      <c r="B1535" s="3"/>
      <c r="C1535" s="3"/>
      <c r="D1535" s="3"/>
      <c r="E1535" s="3"/>
      <c r="F1535" s="3"/>
      <c r="G1535" s="3"/>
      <c r="H1535" s="3"/>
      <c r="I1535" s="3"/>
      <c r="J1535" s="3"/>
      <c r="K1535" s="3"/>
      <c r="L1535" s="3"/>
      <c r="M1535" s="3"/>
      <c r="N1535" s="3"/>
    </row>
    <row r="1536" spans="1:14" ht="16.5" customHeight="1">
      <c r="A1536" s="3"/>
      <c r="B1536" s="3"/>
      <c r="C1536" s="3"/>
      <c r="D1536" s="3"/>
      <c r="E1536" s="3"/>
      <c r="F1536" s="3"/>
      <c r="G1536" s="3"/>
      <c r="H1536" s="3"/>
      <c r="I1536" s="3"/>
      <c r="J1536" s="3"/>
      <c r="K1536" s="3"/>
      <c r="L1536" s="3"/>
      <c r="M1536" s="3"/>
      <c r="N1536" s="3"/>
    </row>
    <row r="1537" spans="1:14" ht="16.5" customHeight="1">
      <c r="A1537" s="3"/>
      <c r="B1537" s="3"/>
      <c r="C1537" s="3"/>
      <c r="D1537" s="3"/>
      <c r="E1537" s="3"/>
      <c r="F1537" s="3"/>
      <c r="G1537" s="3"/>
      <c r="H1537" s="3"/>
      <c r="I1537" s="3"/>
      <c r="J1537" s="3"/>
      <c r="K1537" s="3"/>
      <c r="L1537" s="3"/>
      <c r="M1537" s="3"/>
      <c r="N1537" s="3"/>
    </row>
    <row r="1538" spans="1:14" ht="16.5" customHeight="1">
      <c r="A1538" s="3"/>
      <c r="B1538" s="3"/>
      <c r="C1538" s="3"/>
      <c r="D1538" s="3"/>
      <c r="E1538" s="3"/>
      <c r="F1538" s="3"/>
      <c r="G1538" s="3"/>
      <c r="H1538" s="3"/>
      <c r="I1538" s="3"/>
      <c r="J1538" s="3"/>
      <c r="K1538" s="3"/>
      <c r="L1538" s="3"/>
      <c r="M1538" s="3"/>
      <c r="N1538" s="3"/>
    </row>
    <row r="1539" spans="1:14" ht="16.5" customHeight="1">
      <c r="A1539" s="3"/>
      <c r="B1539" s="3"/>
      <c r="C1539" s="3"/>
      <c r="D1539" s="3"/>
      <c r="E1539" s="3"/>
      <c r="F1539" s="3"/>
      <c r="G1539" s="3"/>
      <c r="H1539" s="3"/>
      <c r="I1539" s="3"/>
      <c r="J1539" s="3"/>
      <c r="K1539" s="3"/>
      <c r="L1539" s="3"/>
      <c r="M1539" s="3"/>
      <c r="N1539" s="3"/>
    </row>
    <row r="1540" spans="1:14" ht="16.5" customHeight="1">
      <c r="A1540" s="3"/>
      <c r="B1540" s="3"/>
      <c r="C1540" s="3"/>
      <c r="D1540" s="3"/>
      <c r="E1540" s="3"/>
      <c r="F1540" s="3"/>
      <c r="G1540" s="3"/>
      <c r="H1540" s="3"/>
      <c r="I1540" s="3"/>
      <c r="J1540" s="3"/>
      <c r="K1540" s="3"/>
      <c r="L1540" s="3"/>
      <c r="M1540" s="3"/>
      <c r="N1540" s="3"/>
    </row>
    <row r="1541" spans="1:14" ht="16.5" customHeight="1">
      <c r="A1541" s="3"/>
      <c r="B1541" s="3"/>
      <c r="C1541" s="3"/>
      <c r="D1541" s="3"/>
      <c r="E1541" s="3"/>
      <c r="F1541" s="3"/>
      <c r="G1541" s="3"/>
      <c r="H1541" s="3"/>
      <c r="I1541" s="3"/>
      <c r="J1541" s="3"/>
      <c r="K1541" s="3"/>
      <c r="L1541" s="3"/>
      <c r="M1541" s="3"/>
      <c r="N1541" s="3"/>
    </row>
    <row r="1542" spans="1:14" ht="16.5" customHeight="1">
      <c r="A1542" s="3"/>
      <c r="B1542" s="3"/>
      <c r="C1542" s="3"/>
      <c r="D1542" s="3"/>
      <c r="E1542" s="3"/>
      <c r="F1542" s="3"/>
      <c r="G1542" s="3"/>
      <c r="H1542" s="3"/>
      <c r="I1542" s="3"/>
      <c r="J1542" s="3"/>
      <c r="K1542" s="3"/>
      <c r="L1542" s="3"/>
      <c r="M1542" s="3"/>
      <c r="N1542" s="3"/>
    </row>
    <row r="1543" spans="1:14" ht="16.5" customHeight="1">
      <c r="A1543" s="3"/>
      <c r="B1543" s="3"/>
      <c r="C1543" s="3"/>
      <c r="D1543" s="3"/>
      <c r="E1543" s="3"/>
      <c r="F1543" s="3"/>
      <c r="G1543" s="3"/>
      <c r="H1543" s="3"/>
      <c r="I1543" s="3"/>
      <c r="J1543" s="3"/>
      <c r="K1543" s="3"/>
      <c r="L1543" s="3"/>
      <c r="M1543" s="3"/>
      <c r="N1543" s="3"/>
    </row>
    <row r="1544" spans="1:14" ht="16.5" customHeight="1">
      <c r="A1544" s="3"/>
      <c r="B1544" s="3"/>
      <c r="C1544" s="3"/>
      <c r="D1544" s="3"/>
      <c r="E1544" s="3"/>
      <c r="F1544" s="3"/>
      <c r="G1544" s="3"/>
      <c r="H1544" s="3"/>
      <c r="I1544" s="3"/>
      <c r="J1544" s="3"/>
      <c r="K1544" s="3"/>
      <c r="L1544" s="3"/>
      <c r="M1544" s="3"/>
      <c r="N1544" s="3"/>
    </row>
    <row r="1545" spans="1:14" ht="16.5" customHeight="1">
      <c r="A1545" s="3"/>
      <c r="B1545" s="3"/>
      <c r="C1545" s="3"/>
      <c r="D1545" s="3"/>
      <c r="E1545" s="3"/>
      <c r="F1545" s="3"/>
      <c r="G1545" s="3"/>
      <c r="H1545" s="3"/>
      <c r="I1545" s="3"/>
      <c r="J1545" s="3"/>
      <c r="K1545" s="3"/>
      <c r="L1545" s="3"/>
      <c r="M1545" s="3"/>
      <c r="N1545" s="3"/>
    </row>
    <row r="1546" spans="1:14" ht="16.5" customHeight="1">
      <c r="A1546" s="3"/>
      <c r="B1546" s="3"/>
      <c r="C1546" s="3"/>
      <c r="D1546" s="3"/>
      <c r="E1546" s="3"/>
      <c r="F1546" s="3"/>
      <c r="G1546" s="3"/>
      <c r="H1546" s="3"/>
      <c r="I1546" s="3"/>
      <c r="J1546" s="3"/>
      <c r="K1546" s="3"/>
      <c r="L1546" s="3"/>
      <c r="M1546" s="3"/>
      <c r="N1546" s="3"/>
    </row>
    <row r="1547" spans="1:14" ht="16.5" customHeight="1">
      <c r="A1547" s="3"/>
      <c r="B1547" s="3"/>
      <c r="C1547" s="3"/>
      <c r="D1547" s="3"/>
      <c r="E1547" s="3"/>
      <c r="F1547" s="3"/>
      <c r="G1547" s="3"/>
      <c r="H1547" s="3"/>
      <c r="I1547" s="3"/>
      <c r="J1547" s="3"/>
      <c r="K1547" s="3"/>
      <c r="L1547" s="3"/>
      <c r="M1547" s="3"/>
      <c r="N1547" s="3"/>
    </row>
    <row r="1548" spans="1:14" ht="16.5" customHeight="1">
      <c r="A1548" s="3"/>
      <c r="B1548" s="3"/>
      <c r="C1548" s="3"/>
      <c r="D1548" s="3"/>
      <c r="E1548" s="3"/>
      <c r="F1548" s="3"/>
      <c r="G1548" s="3"/>
      <c r="H1548" s="3"/>
      <c r="I1548" s="3"/>
      <c r="J1548" s="3"/>
      <c r="K1548" s="3"/>
      <c r="L1548" s="3"/>
      <c r="M1548" s="3"/>
      <c r="N1548" s="3"/>
    </row>
    <row r="1549" spans="1:14" ht="16.5" customHeight="1">
      <c r="A1549" s="3"/>
      <c r="B1549" s="3"/>
      <c r="C1549" s="3"/>
      <c r="D1549" s="3"/>
      <c r="E1549" s="3"/>
      <c r="F1549" s="3"/>
      <c r="G1549" s="3"/>
      <c r="H1549" s="3"/>
      <c r="I1549" s="3"/>
      <c r="J1549" s="3"/>
      <c r="K1549" s="3"/>
      <c r="L1549" s="3"/>
      <c r="M1549" s="3"/>
      <c r="N1549" s="3"/>
    </row>
    <row r="1550" spans="1:14" ht="16.5" customHeight="1">
      <c r="A1550" s="3"/>
      <c r="B1550" s="3"/>
      <c r="C1550" s="3"/>
      <c r="D1550" s="3"/>
      <c r="E1550" s="3"/>
      <c r="F1550" s="3"/>
      <c r="G1550" s="3"/>
      <c r="H1550" s="3"/>
      <c r="I1550" s="3"/>
      <c r="J1550" s="3"/>
      <c r="K1550" s="3"/>
      <c r="L1550" s="3"/>
      <c r="M1550" s="3"/>
      <c r="N1550" s="3"/>
    </row>
    <row r="1551" spans="1:14" ht="16.5" customHeight="1">
      <c r="A1551" s="3"/>
      <c r="B1551" s="3"/>
      <c r="C1551" s="3"/>
      <c r="D1551" s="3"/>
      <c r="E1551" s="3"/>
      <c r="F1551" s="3"/>
      <c r="G1551" s="3"/>
      <c r="H1551" s="3"/>
      <c r="I1551" s="3"/>
      <c r="J1551" s="3"/>
      <c r="K1551" s="3"/>
      <c r="L1551" s="3"/>
      <c r="M1551" s="3"/>
      <c r="N1551" s="3"/>
    </row>
    <row r="1552" spans="1:14" ht="16.5" customHeight="1">
      <c r="A1552" s="3"/>
      <c r="B1552" s="3"/>
      <c r="C1552" s="3"/>
      <c r="D1552" s="3"/>
      <c r="E1552" s="3"/>
      <c r="F1552" s="3"/>
      <c r="G1552" s="3"/>
      <c r="H1552" s="3"/>
      <c r="I1552" s="3"/>
      <c r="J1552" s="3"/>
      <c r="K1552" s="3"/>
      <c r="L1552" s="3"/>
      <c r="M1552" s="3"/>
      <c r="N1552" s="3"/>
    </row>
    <row r="1553" spans="1:14" ht="16.5" customHeight="1">
      <c r="A1553" s="3"/>
      <c r="B1553" s="3"/>
      <c r="C1553" s="3"/>
      <c r="D1553" s="3"/>
      <c r="E1553" s="3"/>
      <c r="F1553" s="3"/>
      <c r="G1553" s="3"/>
      <c r="H1553" s="3"/>
      <c r="I1553" s="3"/>
      <c r="J1553" s="3"/>
      <c r="K1553" s="3"/>
      <c r="L1553" s="3"/>
      <c r="M1553" s="3"/>
      <c r="N1553" s="3"/>
    </row>
    <row r="1554" spans="1:14" ht="16.5" customHeight="1">
      <c r="A1554" s="3"/>
      <c r="B1554" s="3"/>
      <c r="C1554" s="3"/>
      <c r="D1554" s="3"/>
      <c r="E1554" s="3"/>
      <c r="F1554" s="3"/>
      <c r="G1554" s="3"/>
      <c r="H1554" s="3"/>
      <c r="I1554" s="3"/>
      <c r="J1554" s="3"/>
      <c r="K1554" s="3"/>
      <c r="L1554" s="3"/>
      <c r="M1554" s="3"/>
      <c r="N1554" s="3"/>
    </row>
    <row r="1555" spans="1:14" ht="16.5" customHeight="1">
      <c r="A1555" s="3"/>
      <c r="B1555" s="3"/>
      <c r="C1555" s="3"/>
      <c r="D1555" s="3"/>
      <c r="E1555" s="3"/>
      <c r="F1555" s="3"/>
      <c r="G1555" s="3"/>
      <c r="H1555" s="3"/>
      <c r="I1555" s="3"/>
      <c r="J1555" s="3"/>
      <c r="K1555" s="3"/>
      <c r="L1555" s="3"/>
      <c r="M1555" s="3"/>
      <c r="N1555" s="3"/>
    </row>
    <row r="1556" spans="1:14" ht="16.5" customHeight="1">
      <c r="A1556" s="3"/>
      <c r="B1556" s="3"/>
      <c r="C1556" s="3"/>
      <c r="D1556" s="3"/>
      <c r="E1556" s="3"/>
      <c r="F1556" s="3"/>
      <c r="G1556" s="3"/>
      <c r="H1556" s="3"/>
      <c r="I1556" s="3"/>
      <c r="J1556" s="3"/>
      <c r="K1556" s="3"/>
      <c r="L1556" s="3"/>
      <c r="M1556" s="3"/>
      <c r="N1556" s="3"/>
    </row>
    <row r="1557" spans="1:14" ht="16.5" customHeight="1">
      <c r="A1557" s="3"/>
      <c r="B1557" s="3"/>
      <c r="C1557" s="3"/>
      <c r="D1557" s="3"/>
      <c r="E1557" s="3"/>
      <c r="F1557" s="3"/>
      <c r="G1557" s="3"/>
      <c r="H1557" s="3"/>
      <c r="I1557" s="3"/>
      <c r="J1557" s="3"/>
      <c r="K1557" s="3"/>
      <c r="L1557" s="3"/>
      <c r="M1557" s="3"/>
      <c r="N1557" s="3"/>
    </row>
    <row r="1558" spans="1:14" ht="16.5" customHeight="1">
      <c r="A1558" s="3"/>
      <c r="B1558" s="3"/>
      <c r="C1558" s="3"/>
      <c r="D1558" s="3"/>
      <c r="E1558" s="3"/>
      <c r="F1558" s="3"/>
      <c r="G1558" s="3"/>
      <c r="H1558" s="3"/>
      <c r="I1558" s="3"/>
      <c r="J1558" s="3"/>
      <c r="K1558" s="3"/>
      <c r="L1558" s="3"/>
      <c r="M1558" s="3"/>
      <c r="N1558" s="3"/>
    </row>
    <row r="1559" spans="1:14" ht="16.5" customHeight="1">
      <c r="A1559" s="3"/>
      <c r="B1559" s="3"/>
      <c r="C1559" s="3"/>
      <c r="D1559" s="3"/>
      <c r="E1559" s="3"/>
      <c r="F1559" s="3"/>
      <c r="G1559" s="3"/>
      <c r="H1559" s="3"/>
      <c r="I1559" s="3"/>
      <c r="J1559" s="3"/>
      <c r="K1559" s="3"/>
      <c r="L1559" s="3"/>
      <c r="M1559" s="3"/>
      <c r="N1559" s="3"/>
    </row>
    <row r="1560" spans="1:14" ht="16.5" customHeight="1">
      <c r="A1560" s="3"/>
      <c r="B1560" s="3"/>
      <c r="C1560" s="3"/>
      <c r="D1560" s="3"/>
      <c r="E1560" s="3"/>
      <c r="F1560" s="3"/>
      <c r="G1560" s="3"/>
      <c r="H1560" s="3"/>
      <c r="I1560" s="3"/>
      <c r="J1560" s="3"/>
      <c r="K1560" s="3"/>
      <c r="L1560" s="3"/>
      <c r="M1560" s="3"/>
      <c r="N1560" s="3"/>
    </row>
    <row r="1561" spans="1:14" ht="16.5" customHeight="1">
      <c r="A1561" s="3"/>
      <c r="B1561" s="3"/>
      <c r="C1561" s="3"/>
      <c r="D1561" s="3"/>
      <c r="E1561" s="3"/>
      <c r="F1561" s="3"/>
      <c r="G1561" s="3"/>
      <c r="H1561" s="3"/>
      <c r="I1561" s="3"/>
      <c r="J1561" s="3"/>
      <c r="K1561" s="3"/>
      <c r="L1561" s="3"/>
      <c r="M1561" s="3"/>
      <c r="N1561" s="3"/>
    </row>
    <row r="1562" spans="1:14" ht="16.5" customHeight="1">
      <c r="A1562" s="3"/>
      <c r="B1562" s="3"/>
      <c r="C1562" s="3"/>
      <c r="D1562" s="3"/>
      <c r="E1562" s="3"/>
      <c r="F1562" s="3"/>
      <c r="G1562" s="3"/>
      <c r="H1562" s="3"/>
      <c r="I1562" s="3"/>
      <c r="J1562" s="3"/>
      <c r="K1562" s="3"/>
      <c r="L1562" s="3"/>
      <c r="M1562" s="3"/>
      <c r="N1562" s="3"/>
    </row>
    <row r="1563" spans="1:14" ht="16.5" customHeight="1">
      <c r="A1563" s="3"/>
      <c r="B1563" s="3"/>
      <c r="C1563" s="3"/>
      <c r="D1563" s="3"/>
      <c r="E1563" s="3"/>
      <c r="F1563" s="3"/>
      <c r="G1563" s="3"/>
      <c r="H1563" s="3"/>
      <c r="I1563" s="3"/>
      <c r="J1563" s="3"/>
      <c r="K1563" s="3"/>
      <c r="L1563" s="3"/>
      <c r="M1563" s="3"/>
      <c r="N1563" s="3"/>
    </row>
    <row r="1564" spans="1:14" ht="16.5" customHeight="1">
      <c r="A1564" s="3"/>
      <c r="B1564" s="3"/>
      <c r="C1564" s="3"/>
      <c r="D1564" s="3"/>
      <c r="E1564" s="3"/>
      <c r="F1564" s="3"/>
      <c r="G1564" s="3"/>
      <c r="H1564" s="3"/>
      <c r="I1564" s="3"/>
      <c r="J1564" s="3"/>
      <c r="K1564" s="3"/>
      <c r="L1564" s="3"/>
      <c r="M1564" s="3"/>
      <c r="N1564" s="3"/>
    </row>
    <row r="1565" spans="1:14" ht="16.5" customHeight="1">
      <c r="A1565" s="3"/>
      <c r="B1565" s="3"/>
      <c r="C1565" s="3"/>
      <c r="D1565" s="3"/>
      <c r="E1565" s="3"/>
      <c r="F1565" s="3"/>
      <c r="G1565" s="3"/>
      <c r="H1565" s="3"/>
      <c r="I1565" s="3"/>
      <c r="J1565" s="3"/>
      <c r="K1565" s="3"/>
      <c r="L1565" s="3"/>
      <c r="M1565" s="3"/>
      <c r="N1565" s="3"/>
    </row>
    <row r="1566" spans="1:14" ht="16.5" customHeight="1">
      <c r="A1566" s="3"/>
      <c r="B1566" s="3"/>
      <c r="C1566" s="3"/>
      <c r="D1566" s="3"/>
      <c r="E1566" s="3"/>
      <c r="F1566" s="3"/>
      <c r="G1566" s="3"/>
      <c r="H1566" s="3"/>
      <c r="I1566" s="3"/>
      <c r="J1566" s="3"/>
      <c r="K1566" s="3"/>
      <c r="L1566" s="3"/>
      <c r="M1566" s="3"/>
      <c r="N1566" s="3"/>
    </row>
    <row r="1567" spans="1:14" ht="16.5" customHeight="1">
      <c r="A1567" s="3"/>
      <c r="B1567" s="3"/>
      <c r="C1567" s="3"/>
      <c r="D1567" s="3"/>
      <c r="E1567" s="3"/>
      <c r="F1567" s="3"/>
      <c r="G1567" s="3"/>
      <c r="H1567" s="3"/>
      <c r="I1567" s="3"/>
      <c r="J1567" s="3"/>
      <c r="K1567" s="3"/>
      <c r="L1567" s="3"/>
      <c r="M1567" s="3"/>
      <c r="N1567" s="3"/>
    </row>
    <row r="1568" spans="1:14" ht="16.5" customHeight="1">
      <c r="A1568" s="3"/>
      <c r="B1568" s="3"/>
      <c r="C1568" s="3"/>
      <c r="D1568" s="3"/>
      <c r="E1568" s="3"/>
      <c r="F1568" s="3"/>
      <c r="G1568" s="3"/>
      <c r="H1568" s="3"/>
      <c r="I1568" s="3"/>
      <c r="J1568" s="3"/>
      <c r="K1568" s="3"/>
      <c r="L1568" s="3"/>
      <c r="M1568" s="3"/>
      <c r="N1568" s="3"/>
    </row>
    <row r="1569" spans="1:14" ht="16.5" customHeight="1">
      <c r="A1569" s="3"/>
      <c r="B1569" s="3"/>
      <c r="C1569" s="3"/>
      <c r="D1569" s="3"/>
      <c r="E1569" s="3"/>
      <c r="F1569" s="3"/>
      <c r="G1569" s="3"/>
      <c r="H1569" s="3"/>
      <c r="I1569" s="3"/>
      <c r="J1569" s="3"/>
      <c r="K1569" s="3"/>
      <c r="L1569" s="3"/>
      <c r="M1569" s="3"/>
      <c r="N1569" s="3"/>
    </row>
    <row r="1570" spans="1:14" ht="16.5" customHeight="1">
      <c r="A1570" s="3"/>
      <c r="B1570" s="3"/>
      <c r="C1570" s="3"/>
      <c r="D1570" s="3"/>
      <c r="E1570" s="3"/>
      <c r="F1570" s="3"/>
      <c r="G1570" s="3"/>
      <c r="H1570" s="3"/>
      <c r="I1570" s="3"/>
      <c r="J1570" s="3"/>
      <c r="K1570" s="3"/>
      <c r="L1570" s="3"/>
      <c r="M1570" s="3"/>
      <c r="N1570" s="3"/>
    </row>
    <row r="1571" spans="1:14" ht="16.5" customHeight="1">
      <c r="A1571" s="3"/>
      <c r="B1571" s="3"/>
      <c r="C1571" s="3"/>
      <c r="D1571" s="3"/>
      <c r="E1571" s="3"/>
      <c r="F1571" s="3"/>
      <c r="G1571" s="3"/>
      <c r="H1571" s="3"/>
      <c r="I1571" s="3"/>
      <c r="J1571" s="3"/>
      <c r="K1571" s="3"/>
      <c r="L1571" s="3"/>
      <c r="M1571" s="3"/>
      <c r="N1571" s="3"/>
    </row>
    <row r="1572" spans="1:14" ht="16.5" customHeight="1">
      <c r="A1572" s="3"/>
      <c r="B1572" s="3"/>
      <c r="C1572" s="3"/>
      <c r="D1572" s="3"/>
      <c r="E1572" s="3"/>
      <c r="F1572" s="3"/>
      <c r="G1572" s="3"/>
      <c r="H1572" s="3"/>
      <c r="I1572" s="3"/>
      <c r="J1572" s="3"/>
      <c r="K1572" s="3"/>
      <c r="L1572" s="3"/>
      <c r="M1572" s="3"/>
      <c r="N1572" s="3"/>
    </row>
    <row r="1573" spans="1:14" ht="16.5" customHeight="1">
      <c r="A1573" s="3"/>
      <c r="B1573" s="3"/>
      <c r="C1573" s="3"/>
      <c r="D1573" s="3"/>
      <c r="E1573" s="3"/>
      <c r="F1573" s="3"/>
      <c r="G1573" s="3"/>
      <c r="H1573" s="3"/>
      <c r="I1573" s="3"/>
      <c r="J1573" s="3"/>
      <c r="K1573" s="3"/>
      <c r="L1573" s="3"/>
      <c r="M1573" s="3"/>
      <c r="N1573" s="3"/>
    </row>
    <row r="1574" spans="1:14" ht="16.5" customHeight="1">
      <c r="A1574" s="3"/>
      <c r="B1574" s="3"/>
      <c r="C1574" s="3"/>
      <c r="D1574" s="3"/>
      <c r="E1574" s="3"/>
      <c r="F1574" s="3"/>
      <c r="G1574" s="3"/>
      <c r="H1574" s="3"/>
      <c r="I1574" s="3"/>
      <c r="J1574" s="3"/>
      <c r="K1574" s="3"/>
      <c r="L1574" s="3"/>
      <c r="M1574" s="3"/>
      <c r="N1574" s="3"/>
    </row>
    <row r="1575" spans="1:14" ht="16.5" customHeight="1">
      <c r="A1575" s="3"/>
      <c r="B1575" s="3"/>
      <c r="C1575" s="3"/>
      <c r="D1575" s="3"/>
      <c r="E1575" s="3"/>
      <c r="F1575" s="3"/>
      <c r="G1575" s="3"/>
      <c r="H1575" s="3"/>
      <c r="I1575" s="3"/>
      <c r="J1575" s="3"/>
      <c r="K1575" s="3"/>
      <c r="L1575" s="3"/>
      <c r="M1575" s="3"/>
      <c r="N1575" s="3"/>
    </row>
    <row r="1576" spans="1:14" ht="16.5" customHeight="1">
      <c r="A1576" s="3"/>
      <c r="B1576" s="3"/>
      <c r="C1576" s="3"/>
      <c r="D1576" s="3"/>
      <c r="E1576" s="3"/>
      <c r="F1576" s="3"/>
      <c r="G1576" s="3"/>
      <c r="H1576" s="3"/>
      <c r="I1576" s="3"/>
      <c r="J1576" s="3"/>
      <c r="K1576" s="3"/>
      <c r="L1576" s="3"/>
      <c r="M1576" s="3"/>
      <c r="N1576" s="3"/>
    </row>
    <row r="1577" spans="1:14" ht="16.5" customHeight="1">
      <c r="A1577" s="3"/>
      <c r="B1577" s="3"/>
      <c r="C1577" s="3"/>
      <c r="D1577" s="3"/>
      <c r="E1577" s="3"/>
      <c r="F1577" s="3"/>
      <c r="G1577" s="3"/>
      <c r="H1577" s="3"/>
      <c r="I1577" s="3"/>
      <c r="J1577" s="3"/>
      <c r="K1577" s="3"/>
      <c r="L1577" s="3"/>
      <c r="M1577" s="3"/>
      <c r="N1577" s="3"/>
    </row>
    <row r="1578" spans="1:14" ht="16.5" customHeight="1">
      <c r="A1578" s="3"/>
      <c r="B1578" s="3"/>
      <c r="C1578" s="3"/>
      <c r="D1578" s="3"/>
      <c r="E1578" s="3"/>
      <c r="F1578" s="3"/>
      <c r="G1578" s="3"/>
      <c r="H1578" s="3"/>
      <c r="I1578" s="3"/>
      <c r="J1578" s="3"/>
      <c r="K1578" s="3"/>
      <c r="L1578" s="3"/>
      <c r="M1578" s="3"/>
      <c r="N1578" s="3"/>
    </row>
    <row r="1579" spans="1:14" ht="16.5" customHeight="1">
      <c r="A1579" s="3"/>
      <c r="B1579" s="3"/>
      <c r="C1579" s="3"/>
      <c r="D1579" s="3"/>
      <c r="E1579" s="3"/>
      <c r="F1579" s="3"/>
      <c r="G1579" s="3"/>
      <c r="H1579" s="3"/>
      <c r="I1579" s="3"/>
      <c r="J1579" s="3"/>
      <c r="K1579" s="3"/>
      <c r="L1579" s="3"/>
      <c r="M1579" s="3"/>
      <c r="N1579" s="3"/>
    </row>
    <row r="1580" spans="1:14" ht="16.5" customHeight="1">
      <c r="A1580" s="3"/>
      <c r="B1580" s="3"/>
      <c r="C1580" s="3"/>
      <c r="D1580" s="3"/>
      <c r="E1580" s="3"/>
      <c r="F1580" s="3"/>
      <c r="G1580" s="3"/>
      <c r="H1580" s="3"/>
      <c r="I1580" s="3"/>
      <c r="J1580" s="3"/>
      <c r="K1580" s="3"/>
      <c r="L1580" s="3"/>
      <c r="M1580" s="3"/>
      <c r="N1580" s="3"/>
    </row>
    <row r="1581" spans="1:14" ht="16.5" customHeight="1">
      <c r="A1581" s="3"/>
      <c r="B1581" s="3"/>
      <c r="C1581" s="3"/>
      <c r="D1581" s="3"/>
      <c r="E1581" s="3"/>
      <c r="F1581" s="3"/>
      <c r="G1581" s="3"/>
      <c r="H1581" s="3"/>
      <c r="I1581" s="3"/>
      <c r="J1581" s="3"/>
      <c r="K1581" s="3"/>
      <c r="L1581" s="3"/>
      <c r="M1581" s="3"/>
      <c r="N1581" s="3"/>
    </row>
    <row r="1582" spans="1:14" ht="16.5" customHeight="1">
      <c r="A1582" s="3"/>
      <c r="B1582" s="3"/>
      <c r="C1582" s="3"/>
      <c r="D1582" s="3"/>
      <c r="E1582" s="3"/>
      <c r="F1582" s="3"/>
      <c r="G1582" s="3"/>
      <c r="H1582" s="3"/>
      <c r="I1582" s="3"/>
      <c r="J1582" s="3"/>
      <c r="K1582" s="3"/>
      <c r="L1582" s="3"/>
      <c r="M1582" s="3"/>
      <c r="N1582" s="3"/>
    </row>
    <row r="1583" spans="1:14" ht="16.5" customHeight="1">
      <c r="A1583" s="3"/>
      <c r="B1583" s="3"/>
      <c r="C1583" s="3"/>
      <c r="D1583" s="3"/>
      <c r="E1583" s="3"/>
      <c r="F1583" s="3"/>
      <c r="G1583" s="3"/>
      <c r="H1583" s="3"/>
      <c r="I1583" s="3"/>
      <c r="J1583" s="3"/>
      <c r="K1583" s="3"/>
      <c r="L1583" s="3"/>
      <c r="M1583" s="3"/>
      <c r="N1583" s="3"/>
    </row>
    <row r="1584" spans="1:14" ht="16.5" customHeight="1">
      <c r="A1584" s="3"/>
      <c r="B1584" s="3"/>
      <c r="C1584" s="3"/>
      <c r="D1584" s="3"/>
      <c r="E1584" s="3"/>
      <c r="F1584" s="3"/>
      <c r="G1584" s="3"/>
      <c r="H1584" s="3"/>
      <c r="I1584" s="3"/>
      <c r="J1584" s="3"/>
      <c r="K1584" s="3"/>
      <c r="L1584" s="3"/>
      <c r="M1584" s="3"/>
      <c r="N1584" s="3"/>
    </row>
    <row r="1585" spans="1:14" ht="16.5" customHeight="1">
      <c r="A1585" s="3"/>
      <c r="B1585" s="3"/>
      <c r="C1585" s="3"/>
      <c r="D1585" s="3"/>
      <c r="E1585" s="3"/>
      <c r="F1585" s="3"/>
      <c r="G1585" s="3"/>
      <c r="H1585" s="3"/>
      <c r="I1585" s="3"/>
      <c r="J1585" s="3"/>
      <c r="K1585" s="3"/>
      <c r="L1585" s="3"/>
      <c r="M1585" s="3"/>
      <c r="N1585" s="3"/>
    </row>
    <row r="1586" spans="1:14" ht="16.5" customHeight="1">
      <c r="A1586" s="3"/>
      <c r="B1586" s="3"/>
      <c r="C1586" s="3"/>
      <c r="D1586" s="3"/>
      <c r="E1586" s="3"/>
      <c r="F1586" s="3"/>
      <c r="G1586" s="3"/>
      <c r="H1586" s="3"/>
      <c r="I1586" s="3"/>
      <c r="J1586" s="3"/>
      <c r="K1586" s="3"/>
      <c r="L1586" s="3"/>
      <c r="M1586" s="3"/>
      <c r="N1586" s="3"/>
    </row>
    <row r="1587" spans="1:14" ht="16.5" customHeight="1">
      <c r="A1587" s="3"/>
      <c r="B1587" s="3"/>
      <c r="C1587" s="3"/>
      <c r="D1587" s="3"/>
      <c r="E1587" s="3"/>
      <c r="F1587" s="3"/>
      <c r="G1587" s="3"/>
      <c r="H1587" s="3"/>
      <c r="I1587" s="3"/>
      <c r="J1587" s="3"/>
      <c r="K1587" s="3"/>
      <c r="L1587" s="3"/>
      <c r="M1587" s="3"/>
      <c r="N1587" s="3"/>
    </row>
    <row r="1588" spans="1:14" ht="16.5" customHeight="1">
      <c r="A1588" s="3"/>
      <c r="B1588" s="3"/>
      <c r="C1588" s="3"/>
      <c r="D1588" s="3"/>
      <c r="E1588" s="3"/>
      <c r="F1588" s="3"/>
      <c r="G1588" s="3"/>
      <c r="H1588" s="3"/>
      <c r="I1588" s="3"/>
      <c r="J1588" s="3"/>
      <c r="K1588" s="3"/>
      <c r="L1588" s="3"/>
      <c r="M1588" s="3"/>
      <c r="N1588" s="3"/>
    </row>
    <row r="1589" spans="1:14" ht="16.5" customHeight="1">
      <c r="A1589" s="3"/>
      <c r="B1589" s="3"/>
      <c r="C1589" s="3"/>
      <c r="D1589" s="3"/>
      <c r="E1589" s="3"/>
      <c r="F1589" s="3"/>
      <c r="G1589" s="3"/>
      <c r="H1589" s="3"/>
      <c r="I1589" s="3"/>
      <c r="J1589" s="3"/>
      <c r="K1589" s="3"/>
      <c r="L1589" s="3"/>
      <c r="M1589" s="3"/>
      <c r="N1589" s="3"/>
    </row>
    <row r="1590" spans="1:14" ht="16.5" customHeight="1">
      <c r="A1590" s="3"/>
      <c r="B1590" s="3"/>
      <c r="C1590" s="3"/>
      <c r="D1590" s="3"/>
      <c r="E1590" s="3"/>
      <c r="F1590" s="3"/>
      <c r="G1590" s="3"/>
      <c r="H1590" s="3"/>
      <c r="I1590" s="3"/>
      <c r="J1590" s="3"/>
      <c r="K1590" s="3"/>
      <c r="L1590" s="3"/>
      <c r="M1590" s="3"/>
      <c r="N1590" s="3"/>
    </row>
    <row r="1591" spans="1:14" ht="16.5" customHeight="1">
      <c r="A1591" s="3"/>
      <c r="B1591" s="3"/>
      <c r="C1591" s="3"/>
      <c r="D1591" s="3"/>
      <c r="E1591" s="3"/>
      <c r="F1591" s="3"/>
      <c r="G1591" s="3"/>
      <c r="H1591" s="3"/>
      <c r="I1591" s="3"/>
      <c r="J1591" s="3"/>
      <c r="K1591" s="3"/>
      <c r="L1591" s="3"/>
      <c r="M1591" s="3"/>
      <c r="N1591" s="3"/>
    </row>
    <row r="1592" spans="1:14" ht="16.5" customHeight="1">
      <c r="A1592" s="3"/>
      <c r="B1592" s="3"/>
      <c r="C1592" s="3"/>
      <c r="D1592" s="3"/>
      <c r="E1592" s="3"/>
      <c r="F1592" s="3"/>
      <c r="G1592" s="3"/>
      <c r="H1592" s="3"/>
      <c r="I1592" s="3"/>
      <c r="J1592" s="3"/>
      <c r="K1592" s="3"/>
      <c r="L1592" s="3"/>
      <c r="M1592" s="3"/>
      <c r="N1592" s="3"/>
    </row>
    <row r="1593" spans="1:14" ht="16.5" customHeight="1">
      <c r="A1593" s="3"/>
      <c r="B1593" s="3"/>
      <c r="C1593" s="3"/>
      <c r="D1593" s="3"/>
      <c r="E1593" s="3"/>
      <c r="F1593" s="3"/>
      <c r="G1593" s="3"/>
      <c r="H1593" s="3"/>
      <c r="I1593" s="3"/>
      <c r="J1593" s="3"/>
      <c r="K1593" s="3"/>
      <c r="L1593" s="3"/>
      <c r="M1593" s="3"/>
      <c r="N1593" s="3"/>
    </row>
    <row r="1594" spans="1:14" ht="16.5" customHeight="1">
      <c r="A1594" s="3"/>
      <c r="B1594" s="3"/>
      <c r="C1594" s="3"/>
      <c r="D1594" s="3"/>
      <c r="E1594" s="3"/>
      <c r="F1594" s="3"/>
      <c r="G1594" s="3"/>
      <c r="H1594" s="3"/>
      <c r="I1594" s="3"/>
      <c r="J1594" s="3"/>
      <c r="K1594" s="3"/>
      <c r="L1594" s="3"/>
      <c r="M1594" s="3"/>
      <c r="N1594" s="3"/>
    </row>
    <row r="1595" spans="1:14" ht="16.5" customHeight="1">
      <c r="A1595" s="3"/>
      <c r="B1595" s="3"/>
      <c r="C1595" s="3"/>
      <c r="D1595" s="3"/>
      <c r="E1595" s="3"/>
      <c r="F1595" s="3"/>
      <c r="G1595" s="3"/>
      <c r="H1595" s="3"/>
      <c r="I1595" s="3"/>
      <c r="J1595" s="3"/>
      <c r="K1595" s="3"/>
      <c r="L1595" s="3"/>
      <c r="M1595" s="3"/>
      <c r="N1595" s="3"/>
    </row>
    <row r="1596" spans="1:14" ht="16.5" customHeight="1">
      <c r="A1596" s="3"/>
      <c r="B1596" s="3"/>
      <c r="C1596" s="3"/>
      <c r="D1596" s="3"/>
      <c r="E1596" s="3"/>
      <c r="F1596" s="3"/>
      <c r="G1596" s="3"/>
      <c r="H1596" s="3"/>
      <c r="I1596" s="3"/>
      <c r="J1596" s="3"/>
      <c r="K1596" s="3"/>
      <c r="L1596" s="3"/>
      <c r="M1596" s="3"/>
      <c r="N1596" s="3"/>
    </row>
    <row r="1597" spans="1:14" ht="16.5" customHeight="1">
      <c r="A1597" s="3"/>
      <c r="B1597" s="3"/>
      <c r="C1597" s="3"/>
      <c r="D1597" s="3"/>
      <c r="E1597" s="3"/>
      <c r="F1597" s="3"/>
      <c r="G1597" s="3"/>
      <c r="H1597" s="3"/>
      <c r="I1597" s="3"/>
      <c r="J1597" s="3"/>
      <c r="K1597" s="3"/>
      <c r="L1597" s="3"/>
      <c r="M1597" s="3"/>
      <c r="N1597" s="3"/>
    </row>
    <row r="1598" spans="1:14" ht="16.5" customHeight="1">
      <c r="A1598" s="3"/>
      <c r="B1598" s="3"/>
      <c r="C1598" s="3"/>
      <c r="D1598" s="3"/>
      <c r="E1598" s="3"/>
      <c r="F1598" s="3"/>
      <c r="G1598" s="3"/>
      <c r="H1598" s="3"/>
      <c r="I1598" s="3"/>
      <c r="J1598" s="3"/>
      <c r="K1598" s="3"/>
      <c r="L1598" s="3"/>
      <c r="M1598" s="3"/>
      <c r="N1598" s="3"/>
    </row>
    <row r="1599" spans="1:14" ht="16.5" customHeight="1">
      <c r="A1599" s="3"/>
      <c r="B1599" s="3"/>
      <c r="C1599" s="3"/>
      <c r="D1599" s="3"/>
      <c r="E1599" s="3"/>
      <c r="F1599" s="3"/>
      <c r="G1599" s="3"/>
      <c r="H1599" s="3"/>
      <c r="I1599" s="3"/>
      <c r="J1599" s="3"/>
      <c r="K1599" s="3"/>
      <c r="L1599" s="3"/>
      <c r="M1599" s="3"/>
      <c r="N1599" s="3"/>
    </row>
    <row r="1600" spans="1:14" ht="16.5" customHeight="1">
      <c r="A1600" s="3"/>
      <c r="B1600" s="3"/>
      <c r="C1600" s="3"/>
      <c r="D1600" s="3"/>
      <c r="E1600" s="3"/>
      <c r="F1600" s="3"/>
      <c r="G1600" s="3"/>
      <c r="H1600" s="3"/>
      <c r="I1600" s="3"/>
      <c r="J1600" s="3"/>
      <c r="K1600" s="3"/>
      <c r="L1600" s="3"/>
      <c r="M1600" s="3"/>
      <c r="N1600" s="3"/>
    </row>
    <row r="1601" spans="1:14" ht="16.5" customHeight="1">
      <c r="A1601" s="3"/>
      <c r="B1601" s="3"/>
      <c r="C1601" s="3"/>
      <c r="D1601" s="3"/>
      <c r="E1601" s="3"/>
      <c r="F1601" s="3"/>
      <c r="G1601" s="3"/>
      <c r="H1601" s="3"/>
      <c r="I1601" s="3"/>
      <c r="J1601" s="3"/>
      <c r="K1601" s="3"/>
      <c r="L1601" s="3"/>
      <c r="M1601" s="3"/>
      <c r="N1601" s="3"/>
    </row>
    <row r="1602" spans="1:14" ht="16.5" customHeight="1">
      <c r="A1602" s="3"/>
      <c r="B1602" s="3"/>
      <c r="C1602" s="3"/>
      <c r="D1602" s="3"/>
      <c r="E1602" s="3"/>
      <c r="F1602" s="3"/>
      <c r="G1602" s="3"/>
      <c r="H1602" s="3"/>
      <c r="I1602" s="3"/>
      <c r="J1602" s="3"/>
      <c r="K1602" s="3"/>
      <c r="L1602" s="3"/>
      <c r="M1602" s="3"/>
      <c r="N1602" s="3"/>
    </row>
    <row r="1603" spans="1:14" ht="16.5" customHeight="1">
      <c r="A1603" s="3"/>
      <c r="B1603" s="3"/>
      <c r="C1603" s="3"/>
      <c r="D1603" s="3"/>
      <c r="E1603" s="3"/>
      <c r="F1603" s="3"/>
      <c r="G1603" s="3"/>
      <c r="H1603" s="3"/>
      <c r="I1603" s="3"/>
      <c r="J1603" s="3"/>
      <c r="K1603" s="3"/>
      <c r="L1603" s="3"/>
      <c r="M1603" s="3"/>
      <c r="N1603" s="3"/>
    </row>
    <row r="1604" spans="1:14" ht="16.5" customHeight="1">
      <c r="A1604" s="3"/>
      <c r="B1604" s="3"/>
      <c r="C1604" s="3"/>
      <c r="D1604" s="3"/>
      <c r="E1604" s="3"/>
      <c r="F1604" s="3"/>
      <c r="G1604" s="3"/>
      <c r="H1604" s="3"/>
      <c r="I1604" s="3"/>
      <c r="J1604" s="3"/>
      <c r="K1604" s="3"/>
      <c r="L1604" s="3"/>
      <c r="M1604" s="3"/>
      <c r="N1604" s="3"/>
    </row>
    <row r="1605" spans="1:14" ht="16.5" customHeight="1">
      <c r="A1605" s="3"/>
      <c r="B1605" s="3"/>
      <c r="C1605" s="3"/>
      <c r="D1605" s="3"/>
      <c r="E1605" s="3"/>
      <c r="F1605" s="3"/>
      <c r="G1605" s="3"/>
      <c r="H1605" s="3"/>
      <c r="I1605" s="3"/>
      <c r="J1605" s="3"/>
      <c r="K1605" s="3"/>
      <c r="L1605" s="3"/>
      <c r="M1605" s="3"/>
      <c r="N1605" s="3"/>
    </row>
    <row r="1606" spans="1:14" ht="16.5" customHeight="1">
      <c r="A1606" s="3"/>
      <c r="B1606" s="3"/>
      <c r="C1606" s="3"/>
      <c r="D1606" s="3"/>
      <c r="E1606" s="3"/>
      <c r="F1606" s="3"/>
      <c r="G1606" s="3"/>
      <c r="H1606" s="3"/>
      <c r="I1606" s="3"/>
      <c r="J1606" s="3"/>
      <c r="K1606" s="3"/>
      <c r="L1606" s="3"/>
      <c r="M1606" s="3"/>
      <c r="N1606" s="3"/>
    </row>
    <row r="1607" spans="1:14" ht="16.5" customHeight="1">
      <c r="A1607" s="3"/>
      <c r="B1607" s="3"/>
      <c r="C1607" s="3"/>
      <c r="D1607" s="3"/>
      <c r="E1607" s="3"/>
      <c r="F1607" s="3"/>
      <c r="G1607" s="3"/>
      <c r="H1607" s="3"/>
      <c r="I1607" s="3"/>
      <c r="J1607" s="3"/>
      <c r="K1607" s="3"/>
      <c r="L1607" s="3"/>
      <c r="M1607" s="3"/>
      <c r="N1607" s="3"/>
    </row>
    <row r="1608" spans="1:14" ht="16.5" customHeight="1">
      <c r="A1608" s="3"/>
      <c r="B1608" s="3"/>
      <c r="C1608" s="3"/>
      <c r="D1608" s="3"/>
      <c r="E1608" s="3"/>
      <c r="F1608" s="3"/>
      <c r="G1608" s="3"/>
      <c r="H1608" s="3"/>
      <c r="I1608" s="3"/>
      <c r="J1608" s="3"/>
      <c r="K1608" s="3"/>
      <c r="L1608" s="3"/>
      <c r="M1608" s="3"/>
      <c r="N1608" s="3"/>
    </row>
    <row r="1609" spans="1:14" ht="16.5" customHeight="1">
      <c r="A1609" s="3"/>
      <c r="B1609" s="3"/>
      <c r="C1609" s="3"/>
      <c r="D1609" s="3"/>
      <c r="E1609" s="3"/>
      <c r="F1609" s="3"/>
      <c r="G1609" s="3"/>
      <c r="H1609" s="3"/>
      <c r="I1609" s="3"/>
      <c r="J1609" s="3"/>
      <c r="K1609" s="3"/>
      <c r="L1609" s="3"/>
      <c r="M1609" s="3"/>
      <c r="N1609" s="3"/>
    </row>
    <row r="1610" spans="1:14" ht="16.5" customHeight="1">
      <c r="A1610" s="3"/>
      <c r="B1610" s="3"/>
      <c r="C1610" s="3"/>
      <c r="D1610" s="3"/>
      <c r="E1610" s="3"/>
      <c r="F1610" s="3"/>
      <c r="G1610" s="3"/>
      <c r="H1610" s="3"/>
      <c r="I1610" s="3"/>
      <c r="J1610" s="3"/>
      <c r="K1610" s="3"/>
      <c r="L1610" s="3"/>
      <c r="M1610" s="3"/>
      <c r="N1610" s="3"/>
    </row>
    <row r="1611" spans="1:14" ht="16.5" customHeight="1">
      <c r="A1611" s="3"/>
      <c r="B1611" s="3"/>
      <c r="C1611" s="3"/>
      <c r="D1611" s="3"/>
      <c r="E1611" s="3"/>
      <c r="F1611" s="3"/>
      <c r="G1611" s="3"/>
      <c r="H1611" s="3"/>
      <c r="I1611" s="3"/>
      <c r="J1611" s="3"/>
      <c r="K1611" s="3"/>
      <c r="L1611" s="3"/>
      <c r="M1611" s="3"/>
      <c r="N1611" s="3"/>
    </row>
    <row r="1612" spans="1:14" ht="16.5" customHeight="1">
      <c r="A1612" s="3"/>
      <c r="B1612" s="3"/>
      <c r="C1612" s="3"/>
      <c r="D1612" s="3"/>
      <c r="E1612" s="3"/>
      <c r="F1612" s="3"/>
      <c r="G1612" s="3"/>
      <c r="H1612" s="3"/>
      <c r="I1612" s="3"/>
      <c r="J1612" s="3"/>
      <c r="K1612" s="3"/>
      <c r="L1612" s="3"/>
      <c r="M1612" s="3"/>
      <c r="N1612" s="3"/>
    </row>
    <row r="1613" spans="1:14" ht="16.5" customHeight="1">
      <c r="A1613" s="3"/>
      <c r="B1613" s="3"/>
      <c r="C1613" s="3"/>
      <c r="D1613" s="3"/>
      <c r="E1613" s="3"/>
      <c r="F1613" s="3"/>
      <c r="G1613" s="3"/>
      <c r="H1613" s="3"/>
      <c r="I1613" s="3"/>
      <c r="J1613" s="3"/>
      <c r="K1613" s="3"/>
      <c r="L1613" s="3"/>
      <c r="M1613" s="3"/>
      <c r="N1613" s="3"/>
    </row>
    <row r="1614" spans="1:14" ht="16.5" customHeight="1">
      <c r="A1614" s="3"/>
      <c r="B1614" s="3"/>
      <c r="C1614" s="3"/>
      <c r="D1614" s="3"/>
      <c r="E1614" s="3"/>
      <c r="F1614" s="3"/>
      <c r="G1614" s="3"/>
      <c r="H1614" s="3"/>
      <c r="I1614" s="3"/>
      <c r="J1614" s="3"/>
      <c r="K1614" s="3"/>
      <c r="L1614" s="3"/>
      <c r="M1614" s="3"/>
      <c r="N1614" s="3"/>
    </row>
    <row r="1615" spans="1:14" ht="16.5" customHeight="1">
      <c r="A1615" s="3"/>
      <c r="B1615" s="3"/>
      <c r="C1615" s="3"/>
      <c r="D1615" s="3"/>
      <c r="E1615" s="3"/>
      <c r="F1615" s="3"/>
      <c r="G1615" s="3"/>
      <c r="H1615" s="3"/>
      <c r="I1615" s="3"/>
      <c r="J1615" s="3"/>
      <c r="K1615" s="3"/>
      <c r="L1615" s="3"/>
      <c r="M1615" s="3"/>
      <c r="N1615" s="3"/>
    </row>
    <row r="1616" spans="1:14" ht="16.5" customHeight="1">
      <c r="A1616" s="3"/>
      <c r="B1616" s="3"/>
      <c r="C1616" s="3"/>
      <c r="D1616" s="3"/>
      <c r="E1616" s="3"/>
      <c r="F1616" s="3"/>
      <c r="G1616" s="3"/>
      <c r="H1616" s="3"/>
      <c r="I1616" s="3"/>
      <c r="J1616" s="3"/>
      <c r="K1616" s="3"/>
      <c r="L1616" s="3"/>
      <c r="M1616" s="3"/>
      <c r="N1616" s="3"/>
    </row>
    <row r="1617" spans="1:14" ht="16.5" customHeight="1">
      <c r="A1617" s="3"/>
      <c r="B1617" s="3"/>
      <c r="C1617" s="3"/>
      <c r="D1617" s="3"/>
      <c r="E1617" s="3"/>
      <c r="F1617" s="3"/>
      <c r="G1617" s="3"/>
      <c r="H1617" s="3"/>
      <c r="I1617" s="3"/>
      <c r="J1617" s="3"/>
      <c r="K1617" s="3"/>
      <c r="L1617" s="3"/>
      <c r="M1617" s="3"/>
      <c r="N1617" s="3"/>
    </row>
    <row r="1618" spans="1:14" ht="16.5" customHeight="1">
      <c r="A1618" s="3"/>
      <c r="B1618" s="3"/>
      <c r="C1618" s="3"/>
      <c r="D1618" s="3"/>
      <c r="E1618" s="3"/>
      <c r="F1618" s="3"/>
      <c r="G1618" s="3"/>
      <c r="H1618" s="3"/>
      <c r="I1618" s="3"/>
      <c r="J1618" s="3"/>
      <c r="K1618" s="3"/>
      <c r="L1618" s="3"/>
      <c r="M1618" s="3"/>
      <c r="N1618" s="3"/>
    </row>
    <row r="1619" spans="1:14" ht="16.5" customHeight="1">
      <c r="A1619" s="3"/>
      <c r="B1619" s="3"/>
      <c r="C1619" s="3"/>
      <c r="D1619" s="3"/>
      <c r="E1619" s="3"/>
      <c r="F1619" s="3"/>
      <c r="G1619" s="3"/>
      <c r="H1619" s="3"/>
      <c r="I1619" s="3"/>
      <c r="J1619" s="3"/>
      <c r="K1619" s="3"/>
      <c r="L1619" s="3"/>
      <c r="M1619" s="3"/>
      <c r="N1619" s="3"/>
    </row>
    <row r="1620" spans="1:14" ht="16.5" customHeight="1">
      <c r="A1620" s="3"/>
      <c r="B1620" s="3"/>
      <c r="C1620" s="3"/>
      <c r="D1620" s="3"/>
      <c r="E1620" s="3"/>
      <c r="F1620" s="3"/>
      <c r="G1620" s="3"/>
      <c r="H1620" s="3"/>
      <c r="I1620" s="3"/>
      <c r="J1620" s="3"/>
      <c r="K1620" s="3"/>
      <c r="L1620" s="3"/>
      <c r="M1620" s="3"/>
      <c r="N1620" s="3"/>
    </row>
    <row r="1621" spans="1:14" ht="16.5" customHeight="1">
      <c r="A1621" s="3"/>
      <c r="B1621" s="3"/>
      <c r="C1621" s="3"/>
      <c r="D1621" s="3"/>
      <c r="E1621" s="3"/>
      <c r="F1621" s="3"/>
      <c r="G1621" s="3"/>
      <c r="H1621" s="3"/>
      <c r="I1621" s="3"/>
      <c r="J1621" s="3"/>
      <c r="K1621" s="3"/>
      <c r="L1621" s="3"/>
      <c r="M1621" s="3"/>
      <c r="N1621" s="3"/>
    </row>
    <row r="1622" spans="1:14" ht="16.5" customHeight="1">
      <c r="A1622" s="3"/>
      <c r="B1622" s="3"/>
      <c r="C1622" s="3"/>
      <c r="D1622" s="3"/>
      <c r="E1622" s="3"/>
      <c r="F1622" s="3"/>
      <c r="G1622" s="3"/>
      <c r="H1622" s="3"/>
      <c r="I1622" s="3"/>
      <c r="J1622" s="3"/>
      <c r="K1622" s="3"/>
      <c r="L1622" s="3"/>
      <c r="M1622" s="3"/>
      <c r="N1622" s="3"/>
    </row>
    <row r="1623" spans="1:14" ht="16.5" customHeight="1">
      <c r="A1623" s="3"/>
      <c r="B1623" s="3"/>
      <c r="C1623" s="3"/>
      <c r="D1623" s="3"/>
      <c r="E1623" s="3"/>
      <c r="F1623" s="3"/>
      <c r="G1623" s="3"/>
      <c r="H1623" s="3"/>
      <c r="I1623" s="3"/>
      <c r="J1623" s="3"/>
      <c r="K1623" s="3"/>
      <c r="L1623" s="3"/>
      <c r="M1623" s="3"/>
      <c r="N1623" s="3"/>
    </row>
    <row r="1624" spans="1:14" ht="16.5" customHeight="1">
      <c r="A1624" s="3"/>
      <c r="B1624" s="3"/>
      <c r="C1624" s="3"/>
      <c r="D1624" s="3"/>
      <c r="E1624" s="3"/>
      <c r="F1624" s="3"/>
      <c r="G1624" s="3"/>
      <c r="H1624" s="3"/>
      <c r="I1624" s="3"/>
      <c r="J1624" s="3"/>
      <c r="K1624" s="3"/>
      <c r="L1624" s="3"/>
      <c r="M1624" s="3"/>
      <c r="N1624" s="3"/>
    </row>
    <row r="1625" spans="1:14" ht="16.5" customHeight="1">
      <c r="A1625" s="3"/>
      <c r="B1625" s="3"/>
      <c r="C1625" s="3"/>
      <c r="D1625" s="3"/>
      <c r="E1625" s="3"/>
      <c r="F1625" s="3"/>
      <c r="G1625" s="3"/>
      <c r="H1625" s="3"/>
      <c r="I1625" s="3"/>
      <c r="J1625" s="3"/>
      <c r="K1625" s="3"/>
      <c r="L1625" s="3"/>
      <c r="M1625" s="3"/>
      <c r="N1625" s="3"/>
    </row>
    <row r="1626" spans="1:14" ht="16.5" customHeight="1">
      <c r="A1626" s="3"/>
      <c r="B1626" s="3"/>
      <c r="C1626" s="3"/>
      <c r="D1626" s="3"/>
      <c r="E1626" s="3"/>
      <c r="F1626" s="3"/>
      <c r="G1626" s="3"/>
      <c r="H1626" s="3"/>
      <c r="I1626" s="3"/>
      <c r="J1626" s="3"/>
      <c r="K1626" s="3"/>
      <c r="L1626" s="3"/>
      <c r="M1626" s="3"/>
      <c r="N1626" s="3"/>
    </row>
    <row r="1627" spans="1:14" ht="16.5" customHeight="1">
      <c r="A1627" s="3"/>
      <c r="B1627" s="3"/>
      <c r="C1627" s="3"/>
      <c r="D1627" s="3"/>
      <c r="E1627" s="3"/>
      <c r="F1627" s="3"/>
      <c r="G1627" s="3"/>
      <c r="H1627" s="3"/>
      <c r="I1627" s="3"/>
      <c r="J1627" s="3"/>
      <c r="K1627" s="3"/>
      <c r="L1627" s="3"/>
      <c r="M1627" s="3"/>
      <c r="N1627" s="3"/>
    </row>
    <row r="1628" spans="1:14" ht="16.5" customHeight="1">
      <c r="A1628" s="3"/>
      <c r="B1628" s="3"/>
      <c r="C1628" s="3"/>
      <c r="D1628" s="3"/>
      <c r="E1628" s="3"/>
      <c r="F1628" s="3"/>
      <c r="G1628" s="3"/>
      <c r="H1628" s="3"/>
      <c r="I1628" s="3"/>
      <c r="J1628" s="3"/>
      <c r="K1628" s="3"/>
      <c r="L1628" s="3"/>
      <c r="M1628" s="3"/>
      <c r="N1628" s="3"/>
    </row>
    <row r="1629" spans="1:14" ht="16.5" customHeight="1">
      <c r="A1629" s="3"/>
      <c r="B1629" s="3"/>
      <c r="C1629" s="3"/>
      <c r="D1629" s="3"/>
      <c r="E1629" s="3"/>
      <c r="F1629" s="3"/>
      <c r="G1629" s="3"/>
      <c r="H1629" s="3"/>
      <c r="I1629" s="3"/>
      <c r="J1629" s="3"/>
      <c r="K1629" s="3"/>
      <c r="L1629" s="3"/>
      <c r="M1629" s="3"/>
      <c r="N1629" s="3"/>
    </row>
    <row r="1630" spans="1:14" ht="16.5" customHeight="1">
      <c r="A1630" s="3"/>
      <c r="B1630" s="3"/>
      <c r="C1630" s="3"/>
      <c r="D1630" s="3"/>
      <c r="E1630" s="3"/>
      <c r="F1630" s="3"/>
      <c r="G1630" s="3"/>
      <c r="H1630" s="3"/>
      <c r="I1630" s="3"/>
      <c r="J1630" s="3"/>
      <c r="K1630" s="3"/>
      <c r="L1630" s="3"/>
      <c r="M1630" s="3"/>
      <c r="N1630" s="3"/>
    </row>
    <row r="1631" spans="1:14" ht="16.5" customHeight="1">
      <c r="A1631" s="3"/>
      <c r="B1631" s="3"/>
      <c r="C1631" s="3"/>
      <c r="D1631" s="3"/>
      <c r="E1631" s="3"/>
      <c r="F1631" s="3"/>
      <c r="G1631" s="3"/>
      <c r="H1631" s="3"/>
      <c r="I1631" s="3"/>
      <c r="J1631" s="3"/>
      <c r="K1631" s="3"/>
      <c r="L1631" s="3"/>
      <c r="M1631" s="3"/>
      <c r="N1631" s="3"/>
    </row>
    <row r="1632" spans="1:14" ht="16.5" customHeight="1">
      <c r="A1632" s="3"/>
      <c r="B1632" s="3"/>
      <c r="C1632" s="3"/>
      <c r="D1632" s="3"/>
      <c r="E1632" s="3"/>
      <c r="F1632" s="3"/>
      <c r="G1632" s="3"/>
      <c r="H1632" s="3"/>
      <c r="I1632" s="3"/>
      <c r="J1632" s="3"/>
      <c r="K1632" s="3"/>
      <c r="L1632" s="3"/>
      <c r="M1632" s="3"/>
      <c r="N1632" s="3"/>
    </row>
    <row r="1633" spans="1:14" ht="16.5" customHeight="1">
      <c r="A1633" s="3"/>
      <c r="B1633" s="3"/>
      <c r="C1633" s="3"/>
      <c r="D1633" s="3"/>
      <c r="E1633" s="3"/>
      <c r="F1633" s="3"/>
      <c r="G1633" s="3"/>
      <c r="H1633" s="3"/>
      <c r="I1633" s="3"/>
      <c r="J1633" s="3"/>
      <c r="K1633" s="3"/>
      <c r="L1633" s="3"/>
      <c r="M1633" s="3"/>
      <c r="N1633" s="3"/>
    </row>
    <row r="1634" spans="1:14" ht="16.5" customHeight="1">
      <c r="A1634" s="3"/>
      <c r="B1634" s="3"/>
      <c r="C1634" s="3"/>
      <c r="D1634" s="3"/>
      <c r="E1634" s="3"/>
      <c r="F1634" s="3"/>
      <c r="G1634" s="3"/>
      <c r="H1634" s="3"/>
      <c r="I1634" s="3"/>
      <c r="J1634" s="3"/>
      <c r="K1634" s="3"/>
      <c r="L1634" s="3"/>
      <c r="M1634" s="3"/>
      <c r="N1634" s="3"/>
    </row>
    <row r="1635" spans="1:14" ht="16.5" customHeight="1">
      <c r="A1635" s="3"/>
      <c r="B1635" s="3"/>
      <c r="C1635" s="3"/>
      <c r="D1635" s="3"/>
      <c r="E1635" s="3"/>
      <c r="F1635" s="3"/>
      <c r="G1635" s="3"/>
      <c r="H1635" s="3"/>
      <c r="I1635" s="3"/>
      <c r="J1635" s="3"/>
      <c r="K1635" s="3"/>
      <c r="L1635" s="3"/>
      <c r="M1635" s="3"/>
      <c r="N1635" s="3"/>
    </row>
    <row r="1636" spans="1:14" ht="16.5" customHeight="1">
      <c r="A1636" s="3"/>
      <c r="B1636" s="3"/>
      <c r="C1636" s="3"/>
      <c r="D1636" s="3"/>
      <c r="E1636" s="3"/>
      <c r="F1636" s="3"/>
      <c r="G1636" s="3"/>
      <c r="H1636" s="3"/>
      <c r="I1636" s="3"/>
      <c r="J1636" s="3"/>
      <c r="K1636" s="3"/>
      <c r="L1636" s="3"/>
      <c r="M1636" s="3"/>
      <c r="N1636" s="3"/>
    </row>
    <row r="1637" spans="1:14" ht="16.5" customHeight="1">
      <c r="A1637" s="3"/>
      <c r="B1637" s="3"/>
      <c r="C1637" s="3"/>
      <c r="D1637" s="3"/>
      <c r="E1637" s="3"/>
      <c r="F1637" s="3"/>
      <c r="G1637" s="3"/>
      <c r="H1637" s="3"/>
      <c r="I1637" s="3"/>
      <c r="J1637" s="3"/>
      <c r="K1637" s="3"/>
      <c r="L1637" s="3"/>
      <c r="M1637" s="3"/>
      <c r="N1637" s="3"/>
    </row>
    <row r="1638" spans="1:14" ht="16.5" customHeight="1">
      <c r="A1638" s="3"/>
      <c r="B1638" s="3"/>
      <c r="C1638" s="3"/>
      <c r="D1638" s="3"/>
      <c r="E1638" s="3"/>
      <c r="F1638" s="3"/>
      <c r="G1638" s="3"/>
      <c r="H1638" s="3"/>
      <c r="I1638" s="3"/>
      <c r="J1638" s="3"/>
      <c r="K1638" s="3"/>
      <c r="L1638" s="3"/>
      <c r="M1638" s="3"/>
      <c r="N1638" s="3"/>
    </row>
    <row r="1639" spans="1:14" ht="16.5" customHeight="1">
      <c r="A1639" s="3"/>
      <c r="B1639" s="3"/>
      <c r="C1639" s="3"/>
      <c r="D1639" s="3"/>
      <c r="E1639" s="3"/>
      <c r="F1639" s="3"/>
      <c r="G1639" s="3"/>
      <c r="H1639" s="3"/>
      <c r="I1639" s="3"/>
      <c r="J1639" s="3"/>
      <c r="K1639" s="3"/>
      <c r="L1639" s="3"/>
      <c r="M1639" s="3"/>
      <c r="N1639" s="3"/>
    </row>
    <row r="1640" spans="1:14" ht="16.5" customHeight="1">
      <c r="A1640" s="3"/>
      <c r="B1640" s="3"/>
      <c r="C1640" s="3"/>
      <c r="D1640" s="3"/>
      <c r="E1640" s="3"/>
      <c r="F1640" s="3"/>
      <c r="G1640" s="3"/>
      <c r="H1640" s="3"/>
      <c r="I1640" s="3"/>
      <c r="J1640" s="3"/>
      <c r="K1640" s="3"/>
      <c r="L1640" s="3"/>
      <c r="M1640" s="3"/>
      <c r="N1640" s="3"/>
    </row>
    <row r="1641" spans="1:14" ht="16.5" customHeight="1">
      <c r="A1641" s="3"/>
      <c r="B1641" s="3"/>
      <c r="C1641" s="3"/>
      <c r="D1641" s="3"/>
      <c r="E1641" s="3"/>
      <c r="F1641" s="3"/>
      <c r="G1641" s="3"/>
      <c r="H1641" s="3"/>
      <c r="I1641" s="3"/>
      <c r="J1641" s="3"/>
      <c r="K1641" s="3"/>
      <c r="L1641" s="3"/>
      <c r="M1641" s="3"/>
      <c r="N1641" s="3"/>
    </row>
    <row r="1642" spans="1:14" ht="16.5" customHeight="1">
      <c r="A1642" s="3"/>
      <c r="B1642" s="3"/>
      <c r="C1642" s="3"/>
      <c r="D1642" s="3"/>
      <c r="E1642" s="3"/>
      <c r="F1642" s="3"/>
      <c r="G1642" s="3"/>
      <c r="H1642" s="3"/>
      <c r="I1642" s="3"/>
      <c r="J1642" s="3"/>
      <c r="K1642" s="3"/>
      <c r="L1642" s="3"/>
      <c r="M1642" s="3"/>
      <c r="N1642" s="3"/>
    </row>
    <row r="1643" spans="1:14" ht="16.5" customHeight="1">
      <c r="A1643" s="3"/>
      <c r="B1643" s="3"/>
      <c r="C1643" s="3"/>
      <c r="D1643" s="3"/>
      <c r="E1643" s="3"/>
      <c r="F1643" s="3"/>
      <c r="G1643" s="3"/>
      <c r="H1643" s="3"/>
      <c r="I1643" s="3"/>
      <c r="J1643" s="3"/>
      <c r="K1643" s="3"/>
      <c r="L1643" s="3"/>
      <c r="M1643" s="3"/>
      <c r="N1643" s="3"/>
    </row>
    <row r="1644" spans="1:14" ht="16.5" customHeight="1">
      <c r="A1644" s="3"/>
      <c r="B1644" s="3"/>
      <c r="C1644" s="3"/>
      <c r="D1644" s="3"/>
      <c r="E1644" s="3"/>
      <c r="F1644" s="3"/>
      <c r="G1644" s="3"/>
      <c r="H1644" s="3"/>
      <c r="I1644" s="3"/>
      <c r="J1644" s="3"/>
      <c r="K1644" s="3"/>
      <c r="L1644" s="3"/>
      <c r="M1644" s="3"/>
      <c r="N1644" s="3"/>
    </row>
    <row r="1645" spans="1:14" ht="16.5" customHeight="1">
      <c r="A1645" s="3"/>
      <c r="B1645" s="3"/>
      <c r="C1645" s="3"/>
      <c r="D1645" s="3"/>
      <c r="E1645" s="3"/>
      <c r="F1645" s="3"/>
      <c r="G1645" s="3"/>
      <c r="H1645" s="3"/>
      <c r="I1645" s="3"/>
      <c r="J1645" s="3"/>
      <c r="K1645" s="3"/>
      <c r="L1645" s="3"/>
      <c r="M1645" s="3"/>
      <c r="N1645" s="3"/>
    </row>
    <row r="1646" spans="1:14" ht="16.5" customHeight="1">
      <c r="A1646" s="3"/>
      <c r="B1646" s="3"/>
      <c r="C1646" s="3"/>
      <c r="D1646" s="3"/>
      <c r="E1646" s="3"/>
      <c r="F1646" s="3"/>
      <c r="G1646" s="3"/>
      <c r="H1646" s="3"/>
      <c r="I1646" s="3"/>
      <c r="J1646" s="3"/>
      <c r="K1646" s="3"/>
      <c r="L1646" s="3"/>
      <c r="M1646" s="3"/>
      <c r="N1646" s="3"/>
    </row>
    <row r="1647" spans="1:14" ht="16.5" customHeight="1">
      <c r="A1647" s="3"/>
      <c r="B1647" s="3"/>
      <c r="C1647" s="3"/>
      <c r="D1647" s="3"/>
      <c r="E1647" s="3"/>
      <c r="F1647" s="3"/>
      <c r="G1647" s="3"/>
      <c r="H1647" s="3"/>
      <c r="I1647" s="3"/>
      <c r="J1647" s="3"/>
      <c r="K1647" s="3"/>
      <c r="L1647" s="3"/>
      <c r="M1647" s="3"/>
      <c r="N1647" s="3"/>
    </row>
    <row r="1648" spans="1:14" ht="16.5" customHeight="1">
      <c r="A1648" s="3"/>
      <c r="B1648" s="3"/>
      <c r="C1648" s="3"/>
      <c r="D1648" s="3"/>
      <c r="E1648" s="3"/>
      <c r="F1648" s="3"/>
      <c r="G1648" s="3"/>
      <c r="H1648" s="3"/>
      <c r="I1648" s="3"/>
      <c r="J1648" s="3"/>
      <c r="K1648" s="3"/>
      <c r="L1648" s="3"/>
      <c r="M1648" s="3"/>
      <c r="N1648" s="3"/>
    </row>
    <row r="1649" spans="1:14" ht="16.5" customHeight="1">
      <c r="A1649" s="3"/>
      <c r="B1649" s="3"/>
      <c r="C1649" s="3"/>
      <c r="D1649" s="3"/>
      <c r="E1649" s="3"/>
      <c r="F1649" s="3"/>
      <c r="G1649" s="3"/>
      <c r="H1649" s="3"/>
      <c r="I1649" s="3"/>
      <c r="J1649" s="3"/>
      <c r="K1649" s="3"/>
      <c r="L1649" s="3"/>
      <c r="M1649" s="3"/>
      <c r="N1649" s="3"/>
    </row>
    <row r="1650" spans="1:14" ht="16.5" customHeight="1">
      <c r="A1650" s="3"/>
      <c r="B1650" s="3"/>
      <c r="C1650" s="3"/>
      <c r="D1650" s="3"/>
      <c r="E1650" s="3"/>
      <c r="F1650" s="3"/>
      <c r="G1650" s="3"/>
      <c r="H1650" s="3"/>
      <c r="I1650" s="3"/>
      <c r="J1650" s="3"/>
      <c r="K1650" s="3"/>
      <c r="L1650" s="3"/>
      <c r="M1650" s="3"/>
      <c r="N1650" s="3"/>
    </row>
    <row r="1651" spans="1:14" ht="16.5" customHeight="1">
      <c r="A1651" s="3"/>
      <c r="B1651" s="3"/>
      <c r="C1651" s="3"/>
      <c r="D1651" s="3"/>
      <c r="E1651" s="3"/>
      <c r="F1651" s="3"/>
      <c r="G1651" s="3"/>
      <c r="H1651" s="3"/>
      <c r="I1651" s="3"/>
      <c r="J1651" s="3"/>
      <c r="K1651" s="3"/>
      <c r="L1651" s="3"/>
      <c r="M1651" s="3"/>
      <c r="N1651" s="3"/>
    </row>
    <row r="1652" spans="1:14" ht="16.5" customHeight="1">
      <c r="A1652" s="3"/>
      <c r="B1652" s="3"/>
      <c r="C1652" s="3"/>
      <c r="D1652" s="3"/>
      <c r="E1652" s="3"/>
      <c r="F1652" s="3"/>
      <c r="G1652" s="3"/>
      <c r="H1652" s="3"/>
      <c r="I1652" s="3"/>
      <c r="J1652" s="3"/>
      <c r="K1652" s="3"/>
      <c r="L1652" s="3"/>
      <c r="M1652" s="3"/>
      <c r="N1652" s="3"/>
    </row>
    <row r="1653" spans="1:14" ht="16.5" customHeight="1">
      <c r="A1653" s="3"/>
      <c r="B1653" s="3"/>
      <c r="C1653" s="3"/>
      <c r="D1653" s="3"/>
      <c r="E1653" s="3"/>
      <c r="F1653" s="3"/>
      <c r="G1653" s="3"/>
      <c r="H1653" s="3"/>
      <c r="I1653" s="3"/>
      <c r="J1653" s="3"/>
      <c r="K1653" s="3"/>
      <c r="L1653" s="3"/>
      <c r="M1653" s="3"/>
      <c r="N1653" s="3"/>
    </row>
    <row r="1654" spans="1:14" ht="16.5" customHeight="1">
      <c r="A1654" s="3"/>
      <c r="B1654" s="3"/>
      <c r="C1654" s="3"/>
      <c r="D1654" s="3"/>
      <c r="E1654" s="3"/>
      <c r="F1654" s="3"/>
      <c r="G1654" s="3"/>
      <c r="H1654" s="3"/>
      <c r="I1654" s="3"/>
      <c r="J1654" s="3"/>
      <c r="K1654" s="3"/>
      <c r="L1654" s="3"/>
      <c r="M1654" s="3"/>
      <c r="N1654" s="3"/>
    </row>
    <row r="1655" spans="1:14" ht="16.5" customHeight="1">
      <c r="A1655" s="3"/>
      <c r="B1655" s="3"/>
      <c r="C1655" s="3"/>
      <c r="D1655" s="3"/>
      <c r="E1655" s="3"/>
      <c r="F1655" s="3"/>
      <c r="G1655" s="3"/>
      <c r="H1655" s="3"/>
      <c r="I1655" s="3"/>
      <c r="J1655" s="3"/>
      <c r="K1655" s="3"/>
      <c r="L1655" s="3"/>
      <c r="M1655" s="3"/>
      <c r="N1655" s="3"/>
    </row>
    <row r="1656" spans="1:14" ht="16.5" customHeight="1">
      <c r="A1656" s="3"/>
      <c r="B1656" s="3"/>
      <c r="C1656" s="3"/>
      <c r="D1656" s="3"/>
      <c r="E1656" s="3"/>
      <c r="F1656" s="3"/>
      <c r="G1656" s="3"/>
      <c r="H1656" s="3"/>
      <c r="I1656" s="3"/>
      <c r="J1656" s="3"/>
      <c r="K1656" s="3"/>
      <c r="L1656" s="3"/>
      <c r="M1656" s="3"/>
      <c r="N1656" s="3"/>
    </row>
    <row r="1657" spans="1:14" ht="16.5" customHeight="1">
      <c r="A1657" s="3"/>
      <c r="B1657" s="3"/>
      <c r="C1657" s="3"/>
      <c r="D1657" s="3"/>
      <c r="E1657" s="3"/>
      <c r="F1657" s="3"/>
      <c r="G1657" s="3"/>
      <c r="H1657" s="3"/>
      <c r="I1657" s="3"/>
      <c r="J1657" s="3"/>
      <c r="K1657" s="3"/>
      <c r="L1657" s="3"/>
      <c r="M1657" s="3"/>
      <c r="N1657" s="3"/>
    </row>
    <row r="1658" spans="1:14" ht="16.5" customHeight="1">
      <c r="A1658" s="3"/>
      <c r="B1658" s="3"/>
      <c r="C1658" s="3"/>
      <c r="D1658" s="3"/>
      <c r="E1658" s="3"/>
      <c r="F1658" s="3"/>
      <c r="G1658" s="3"/>
      <c r="H1658" s="3"/>
      <c r="I1658" s="3"/>
      <c r="J1658" s="3"/>
      <c r="K1658" s="3"/>
      <c r="L1658" s="3"/>
      <c r="M1658" s="3"/>
      <c r="N1658" s="3"/>
    </row>
    <row r="1659" spans="1:14" ht="16.5" customHeight="1">
      <c r="A1659" s="3"/>
      <c r="B1659" s="3"/>
      <c r="C1659" s="3"/>
      <c r="D1659" s="3"/>
      <c r="E1659" s="3"/>
      <c r="F1659" s="3"/>
      <c r="G1659" s="3"/>
      <c r="H1659" s="3"/>
      <c r="I1659" s="3"/>
      <c r="J1659" s="3"/>
      <c r="K1659" s="3"/>
      <c r="L1659" s="3"/>
      <c r="M1659" s="3"/>
      <c r="N1659" s="3"/>
    </row>
    <row r="1660" spans="1:14" ht="16.5" customHeight="1">
      <c r="A1660" s="3"/>
      <c r="B1660" s="3"/>
      <c r="C1660" s="3"/>
      <c r="D1660" s="3"/>
      <c r="E1660" s="3"/>
      <c r="F1660" s="3"/>
      <c r="G1660" s="3"/>
      <c r="H1660" s="3"/>
      <c r="I1660" s="3"/>
      <c r="J1660" s="3"/>
      <c r="K1660" s="3"/>
      <c r="L1660" s="3"/>
      <c r="M1660" s="3"/>
      <c r="N1660" s="3"/>
    </row>
    <row r="1661" spans="1:14" ht="16.5" customHeight="1">
      <c r="A1661" s="3"/>
      <c r="B1661" s="3"/>
      <c r="C1661" s="3"/>
      <c r="D1661" s="3"/>
      <c r="E1661" s="3"/>
      <c r="F1661" s="3"/>
      <c r="G1661" s="3"/>
      <c r="H1661" s="3"/>
      <c r="I1661" s="3"/>
      <c r="J1661" s="3"/>
      <c r="K1661" s="3"/>
      <c r="L1661" s="3"/>
      <c r="M1661" s="3"/>
      <c r="N1661" s="3"/>
    </row>
    <row r="1662" spans="1:14" ht="16.5" customHeight="1">
      <c r="A1662" s="3"/>
      <c r="B1662" s="3"/>
      <c r="C1662" s="3"/>
      <c r="D1662" s="3"/>
      <c r="E1662" s="3"/>
      <c r="F1662" s="3"/>
      <c r="G1662" s="3"/>
      <c r="H1662" s="3"/>
      <c r="I1662" s="3"/>
      <c r="J1662" s="3"/>
      <c r="K1662" s="3"/>
      <c r="L1662" s="3"/>
      <c r="M1662" s="3"/>
      <c r="N1662" s="3"/>
    </row>
    <row r="1663" spans="1:14" ht="16.5" customHeight="1">
      <c r="A1663" s="3"/>
      <c r="B1663" s="3"/>
      <c r="C1663" s="3"/>
      <c r="D1663" s="3"/>
      <c r="E1663" s="3"/>
      <c r="F1663" s="3"/>
      <c r="G1663" s="3"/>
      <c r="H1663" s="3"/>
      <c r="I1663" s="3"/>
      <c r="J1663" s="3"/>
      <c r="K1663" s="3"/>
      <c r="L1663" s="3"/>
      <c r="M1663" s="3"/>
      <c r="N1663" s="3"/>
    </row>
    <row r="1664" spans="1:14" ht="16.5" customHeight="1">
      <c r="A1664" s="3"/>
      <c r="B1664" s="3"/>
      <c r="C1664" s="3"/>
      <c r="D1664" s="3"/>
      <c r="E1664" s="3"/>
      <c r="F1664" s="3"/>
      <c r="G1664" s="3"/>
      <c r="H1664" s="3"/>
      <c r="I1664" s="3"/>
      <c r="J1664" s="3"/>
      <c r="K1664" s="3"/>
      <c r="L1664" s="3"/>
      <c r="M1664" s="3"/>
      <c r="N1664" s="3"/>
    </row>
    <row r="1665" spans="1:14" ht="16.5" customHeight="1">
      <c r="A1665" s="3"/>
      <c r="B1665" s="3"/>
      <c r="C1665" s="3"/>
      <c r="D1665" s="3"/>
      <c r="E1665" s="3"/>
      <c r="F1665" s="3"/>
      <c r="G1665" s="3"/>
      <c r="H1665" s="3"/>
      <c r="I1665" s="3"/>
      <c r="J1665" s="3"/>
      <c r="K1665" s="3"/>
      <c r="L1665" s="3"/>
      <c r="M1665" s="3"/>
      <c r="N1665" s="3"/>
    </row>
    <row r="1666" spans="1:14" ht="16.5" customHeight="1">
      <c r="A1666" s="3"/>
      <c r="B1666" s="3"/>
      <c r="C1666" s="3"/>
      <c r="D1666" s="3"/>
      <c r="E1666" s="3"/>
      <c r="F1666" s="3"/>
      <c r="G1666" s="3"/>
      <c r="H1666" s="3"/>
      <c r="I1666" s="3"/>
      <c r="J1666" s="3"/>
      <c r="K1666" s="3"/>
      <c r="L1666" s="3"/>
      <c r="M1666" s="3"/>
      <c r="N1666" s="3"/>
    </row>
    <row r="1667" spans="1:14" ht="16.5" customHeight="1">
      <c r="A1667" s="3"/>
      <c r="B1667" s="3"/>
      <c r="C1667" s="3"/>
      <c r="D1667" s="3"/>
      <c r="E1667" s="3"/>
      <c r="F1667" s="3"/>
      <c r="G1667" s="3"/>
      <c r="H1667" s="3"/>
      <c r="I1667" s="3"/>
      <c r="J1667" s="3"/>
      <c r="K1667" s="3"/>
      <c r="L1667" s="3"/>
      <c r="M1667" s="3"/>
      <c r="N1667" s="3"/>
    </row>
    <row r="1668" spans="1:14" ht="16.5" customHeight="1">
      <c r="A1668" s="3"/>
      <c r="B1668" s="3"/>
      <c r="C1668" s="3"/>
      <c r="D1668" s="3"/>
      <c r="E1668" s="3"/>
      <c r="F1668" s="3"/>
      <c r="G1668" s="3"/>
      <c r="H1668" s="3"/>
      <c r="I1668" s="3"/>
      <c r="J1668" s="3"/>
      <c r="K1668" s="3"/>
      <c r="L1668" s="3"/>
      <c r="M1668" s="3"/>
      <c r="N1668" s="3"/>
    </row>
    <row r="1669" spans="1:14" ht="16.5" customHeight="1">
      <c r="A1669" s="3"/>
      <c r="B1669" s="3"/>
      <c r="C1669" s="3"/>
      <c r="D1669" s="3"/>
      <c r="E1669" s="3"/>
      <c r="F1669" s="3"/>
      <c r="G1669" s="3"/>
      <c r="H1669" s="3"/>
      <c r="I1669" s="3"/>
      <c r="J1669" s="3"/>
      <c r="K1669" s="3"/>
      <c r="L1669" s="3"/>
      <c r="M1669" s="3"/>
      <c r="N1669" s="3"/>
    </row>
    <row r="1670" spans="1:14" ht="16.5" customHeight="1">
      <c r="A1670" s="3"/>
      <c r="B1670" s="3"/>
      <c r="C1670" s="3"/>
      <c r="D1670" s="3"/>
      <c r="E1670" s="3"/>
      <c r="F1670" s="3"/>
      <c r="G1670" s="3"/>
      <c r="H1670" s="3"/>
      <c r="I1670" s="3"/>
      <c r="J1670" s="3"/>
      <c r="K1670" s="3"/>
      <c r="L1670" s="3"/>
      <c r="M1670" s="3"/>
      <c r="N1670" s="3"/>
    </row>
    <row r="1671" spans="1:14" ht="16.5" customHeight="1">
      <c r="A1671" s="3"/>
      <c r="B1671" s="3"/>
      <c r="C1671" s="3"/>
      <c r="D1671" s="3"/>
      <c r="E1671" s="3"/>
      <c r="F1671" s="3"/>
      <c r="G1671" s="3"/>
      <c r="H1671" s="3"/>
      <c r="I1671" s="3"/>
      <c r="J1671" s="3"/>
      <c r="K1671" s="3"/>
      <c r="L1671" s="3"/>
      <c r="M1671" s="3"/>
      <c r="N1671" s="3"/>
    </row>
    <row r="1672" spans="1:14" ht="16.5" customHeight="1">
      <c r="A1672" s="3"/>
      <c r="B1672" s="3"/>
      <c r="C1672" s="3"/>
      <c r="D1672" s="3"/>
      <c r="E1672" s="3"/>
      <c r="F1672" s="3"/>
      <c r="G1672" s="3"/>
      <c r="H1672" s="3"/>
      <c r="I1672" s="3"/>
      <c r="J1672" s="3"/>
      <c r="K1672" s="3"/>
      <c r="L1672" s="3"/>
      <c r="M1672" s="3"/>
      <c r="N1672" s="3"/>
    </row>
    <row r="1673" spans="1:14" ht="16.5" customHeight="1">
      <c r="A1673" s="3"/>
      <c r="B1673" s="3"/>
      <c r="C1673" s="3"/>
      <c r="D1673" s="3"/>
      <c r="E1673" s="3"/>
      <c r="F1673" s="3"/>
      <c r="G1673" s="3"/>
      <c r="H1673" s="3"/>
      <c r="I1673" s="3"/>
      <c r="J1673" s="3"/>
      <c r="K1673" s="3"/>
      <c r="L1673" s="3"/>
      <c r="M1673" s="3"/>
      <c r="N1673" s="3"/>
    </row>
    <row r="1674" spans="1:14" ht="16.5" customHeight="1">
      <c r="A1674" s="3"/>
      <c r="B1674" s="3"/>
      <c r="C1674" s="3"/>
      <c r="D1674" s="3"/>
      <c r="E1674" s="3"/>
      <c r="F1674" s="3"/>
      <c r="G1674" s="3"/>
      <c r="H1674" s="3"/>
      <c r="I1674" s="3"/>
      <c r="J1674" s="3"/>
      <c r="K1674" s="3"/>
      <c r="L1674" s="3"/>
      <c r="M1674" s="3"/>
      <c r="N1674" s="3"/>
    </row>
    <row r="1675" spans="1:14" ht="16.5" customHeight="1">
      <c r="A1675" s="3"/>
      <c r="B1675" s="3"/>
      <c r="C1675" s="3"/>
      <c r="D1675" s="3"/>
      <c r="E1675" s="3"/>
      <c r="F1675" s="3"/>
      <c r="G1675" s="3"/>
      <c r="H1675" s="3"/>
      <c r="I1675" s="3"/>
      <c r="J1675" s="3"/>
      <c r="K1675" s="3"/>
      <c r="L1675" s="3"/>
      <c r="M1675" s="3"/>
      <c r="N1675" s="3"/>
    </row>
    <row r="1676" spans="1:14" ht="16.5" customHeight="1">
      <c r="A1676" s="3"/>
      <c r="B1676" s="3"/>
      <c r="C1676" s="3"/>
      <c r="D1676" s="3"/>
      <c r="E1676" s="3"/>
      <c r="F1676" s="3"/>
      <c r="G1676" s="3"/>
      <c r="H1676" s="3"/>
      <c r="I1676" s="3"/>
      <c r="J1676" s="3"/>
      <c r="K1676" s="3"/>
      <c r="L1676" s="3"/>
      <c r="M1676" s="3"/>
      <c r="N1676" s="3"/>
    </row>
    <row r="1677" spans="1:14" ht="16.5" customHeight="1">
      <c r="A1677" s="3"/>
      <c r="B1677" s="3"/>
      <c r="C1677" s="3"/>
      <c r="D1677" s="3"/>
      <c r="E1677" s="3"/>
      <c r="F1677" s="3"/>
      <c r="G1677" s="3"/>
      <c r="H1677" s="3"/>
      <c r="I1677" s="3"/>
      <c r="J1677" s="3"/>
      <c r="K1677" s="3"/>
      <c r="L1677" s="3"/>
      <c r="M1677" s="3"/>
      <c r="N1677" s="3"/>
    </row>
    <row r="1678" spans="1:14" ht="16.5" customHeight="1">
      <c r="A1678" s="3"/>
      <c r="B1678" s="3"/>
      <c r="C1678" s="3"/>
      <c r="D1678" s="3"/>
      <c r="E1678" s="3"/>
      <c r="F1678" s="3"/>
      <c r="G1678" s="3"/>
      <c r="H1678" s="3"/>
      <c r="I1678" s="3"/>
      <c r="J1678" s="3"/>
      <c r="K1678" s="3"/>
      <c r="L1678" s="3"/>
      <c r="M1678" s="3"/>
      <c r="N1678" s="3"/>
    </row>
    <row r="1679" spans="1:14" ht="16.5" customHeight="1">
      <c r="A1679" s="3"/>
      <c r="B1679" s="3"/>
      <c r="C1679" s="3"/>
      <c r="D1679" s="3"/>
      <c r="E1679" s="3"/>
      <c r="F1679" s="3"/>
      <c r="G1679" s="3"/>
      <c r="H1679" s="3"/>
      <c r="I1679" s="3"/>
      <c r="J1679" s="3"/>
      <c r="K1679" s="3"/>
      <c r="L1679" s="3"/>
      <c r="M1679" s="3"/>
      <c r="N1679" s="3"/>
    </row>
    <row r="1680" spans="1:14" ht="16.5" customHeight="1">
      <c r="A1680" s="3"/>
      <c r="B1680" s="3"/>
      <c r="C1680" s="3"/>
      <c r="D1680" s="3"/>
      <c r="E1680" s="3"/>
      <c r="F1680" s="3"/>
      <c r="G1680" s="3"/>
      <c r="H1680" s="3"/>
      <c r="I1680" s="3"/>
      <c r="J1680" s="3"/>
      <c r="K1680" s="3"/>
      <c r="L1680" s="3"/>
      <c r="M1680" s="3"/>
      <c r="N1680" s="3"/>
    </row>
    <row r="1681" spans="1:14" ht="16.5" customHeight="1">
      <c r="A1681" s="3"/>
      <c r="B1681" s="3"/>
      <c r="C1681" s="3"/>
      <c r="D1681" s="3"/>
      <c r="E1681" s="3"/>
      <c r="F1681" s="3"/>
      <c r="G1681" s="3"/>
      <c r="H1681" s="3"/>
      <c r="I1681" s="3"/>
      <c r="J1681" s="3"/>
      <c r="K1681" s="3"/>
      <c r="L1681" s="3"/>
      <c r="M1681" s="3"/>
      <c r="N1681" s="3"/>
    </row>
    <row r="1682" spans="1:14" ht="16.5" customHeight="1">
      <c r="A1682" s="3"/>
      <c r="B1682" s="3"/>
      <c r="C1682" s="3"/>
      <c r="D1682" s="3"/>
      <c r="E1682" s="3"/>
      <c r="F1682" s="3"/>
      <c r="G1682" s="3"/>
      <c r="H1682" s="3"/>
      <c r="I1682" s="3"/>
      <c r="J1682" s="3"/>
      <c r="K1682" s="3"/>
      <c r="L1682" s="3"/>
      <c r="M1682" s="3"/>
      <c r="N1682" s="3"/>
    </row>
    <row r="1683" spans="1:14" ht="16.5" customHeight="1">
      <c r="A1683" s="3"/>
      <c r="B1683" s="3"/>
      <c r="C1683" s="3"/>
      <c r="D1683" s="3"/>
      <c r="E1683" s="3"/>
      <c r="F1683" s="3"/>
      <c r="G1683" s="3"/>
      <c r="H1683" s="3"/>
      <c r="I1683" s="3"/>
      <c r="J1683" s="3"/>
      <c r="K1683" s="3"/>
      <c r="L1683" s="3"/>
      <c r="M1683" s="3"/>
      <c r="N1683" s="3"/>
    </row>
    <row r="1684" spans="1:14" ht="16.5" customHeight="1">
      <c r="A1684" s="3"/>
      <c r="B1684" s="3"/>
      <c r="C1684" s="3"/>
      <c r="D1684" s="3"/>
      <c r="E1684" s="3"/>
      <c r="F1684" s="3"/>
      <c r="G1684" s="3"/>
      <c r="H1684" s="3"/>
      <c r="I1684" s="3"/>
      <c r="J1684" s="3"/>
      <c r="K1684" s="3"/>
      <c r="L1684" s="3"/>
      <c r="M1684" s="3"/>
      <c r="N1684" s="3"/>
    </row>
    <row r="1685" spans="1:14" ht="16.5" customHeight="1">
      <c r="A1685" s="3"/>
      <c r="B1685" s="3"/>
      <c r="C1685" s="3"/>
      <c r="D1685" s="3"/>
      <c r="E1685" s="3"/>
      <c r="F1685" s="3"/>
      <c r="G1685" s="3"/>
      <c r="H1685" s="3"/>
      <c r="I1685" s="3"/>
      <c r="J1685" s="3"/>
      <c r="K1685" s="3"/>
      <c r="L1685" s="3"/>
      <c r="M1685" s="3"/>
      <c r="N1685" s="3"/>
    </row>
    <row r="1686" spans="1:14" ht="16.5" customHeight="1">
      <c r="A1686" s="3"/>
      <c r="B1686" s="3"/>
      <c r="C1686" s="3"/>
      <c r="D1686" s="3"/>
      <c r="E1686" s="3"/>
      <c r="F1686" s="3"/>
      <c r="G1686" s="3"/>
      <c r="H1686" s="3"/>
      <c r="I1686" s="3"/>
      <c r="J1686" s="3"/>
      <c r="K1686" s="3"/>
      <c r="L1686" s="3"/>
      <c r="M1686" s="3"/>
      <c r="N1686" s="3"/>
    </row>
    <row r="1687" spans="1:14" ht="16.5" customHeight="1">
      <c r="A1687" s="3"/>
      <c r="B1687" s="3"/>
      <c r="C1687" s="3"/>
      <c r="D1687" s="3"/>
      <c r="E1687" s="3"/>
      <c r="F1687" s="3"/>
      <c r="G1687" s="3"/>
      <c r="H1687" s="3"/>
      <c r="I1687" s="3"/>
      <c r="J1687" s="3"/>
      <c r="K1687" s="3"/>
      <c r="L1687" s="3"/>
      <c r="M1687" s="3"/>
      <c r="N1687" s="3"/>
    </row>
    <row r="1688" spans="1:14" ht="16.5" customHeight="1">
      <c r="A1688" s="3"/>
      <c r="B1688" s="3"/>
      <c r="C1688" s="3"/>
      <c r="D1688" s="3"/>
      <c r="E1688" s="3"/>
      <c r="F1688" s="3"/>
      <c r="G1688" s="3"/>
      <c r="H1688" s="3"/>
      <c r="I1688" s="3"/>
      <c r="J1688" s="3"/>
      <c r="K1688" s="3"/>
      <c r="L1688" s="3"/>
      <c r="M1688" s="3"/>
      <c r="N1688" s="3"/>
    </row>
    <row r="1689" spans="1:14" ht="16.5" customHeight="1">
      <c r="A1689" s="3"/>
      <c r="B1689" s="3"/>
      <c r="C1689" s="3"/>
      <c r="D1689" s="3"/>
      <c r="E1689" s="3"/>
      <c r="F1689" s="3"/>
      <c r="G1689" s="3"/>
      <c r="H1689" s="3"/>
      <c r="I1689" s="3"/>
      <c r="J1689" s="3"/>
      <c r="K1689" s="3"/>
      <c r="L1689" s="3"/>
      <c r="M1689" s="3"/>
      <c r="N1689" s="3"/>
    </row>
    <row r="1690" spans="1:14" ht="16.5" customHeight="1">
      <c r="A1690" s="3"/>
      <c r="B1690" s="3"/>
      <c r="C1690" s="3"/>
      <c r="D1690" s="3"/>
      <c r="E1690" s="3"/>
      <c r="F1690" s="3"/>
      <c r="G1690" s="3"/>
      <c r="H1690" s="3"/>
      <c r="I1690" s="3"/>
      <c r="J1690" s="3"/>
      <c r="K1690" s="3"/>
      <c r="L1690" s="3"/>
      <c r="M1690" s="3"/>
      <c r="N1690" s="3"/>
    </row>
    <row r="1691" spans="1:14" ht="16.5" customHeight="1">
      <c r="A1691" s="3"/>
      <c r="B1691" s="3"/>
      <c r="C1691" s="3"/>
      <c r="D1691" s="3"/>
      <c r="E1691" s="3"/>
      <c r="F1691" s="3"/>
      <c r="G1691" s="3"/>
      <c r="H1691" s="3"/>
      <c r="I1691" s="3"/>
      <c r="J1691" s="3"/>
      <c r="K1691" s="3"/>
      <c r="L1691" s="3"/>
      <c r="M1691" s="3"/>
      <c r="N1691" s="3"/>
    </row>
    <row r="1692" spans="1:14" ht="16.5" customHeight="1">
      <c r="A1692" s="3"/>
      <c r="B1692" s="3"/>
      <c r="C1692" s="3"/>
      <c r="D1692" s="3"/>
      <c r="E1692" s="3"/>
      <c r="F1692" s="3"/>
      <c r="G1692" s="3"/>
      <c r="H1692" s="3"/>
      <c r="I1692" s="3"/>
      <c r="J1692" s="3"/>
      <c r="K1692" s="3"/>
      <c r="L1692" s="3"/>
      <c r="M1692" s="3"/>
      <c r="N1692" s="3"/>
    </row>
    <row r="1693" spans="1:14" ht="16.5" customHeight="1">
      <c r="A1693" s="3"/>
      <c r="B1693" s="3"/>
      <c r="C1693" s="3"/>
      <c r="D1693" s="3"/>
      <c r="E1693" s="3"/>
      <c r="F1693" s="3"/>
      <c r="G1693" s="3"/>
      <c r="H1693" s="3"/>
      <c r="I1693" s="3"/>
      <c r="J1693" s="3"/>
      <c r="K1693" s="3"/>
      <c r="L1693" s="3"/>
      <c r="M1693" s="3"/>
      <c r="N1693" s="3"/>
    </row>
    <row r="1694" spans="1:14" ht="16.5" customHeight="1">
      <c r="A1694" s="3"/>
      <c r="B1694" s="3"/>
      <c r="C1694" s="3"/>
      <c r="D1694" s="3"/>
      <c r="E1694" s="3"/>
      <c r="F1694" s="3"/>
      <c r="G1694" s="3"/>
      <c r="H1694" s="3"/>
      <c r="I1694" s="3"/>
      <c r="J1694" s="3"/>
      <c r="K1694" s="3"/>
      <c r="L1694" s="3"/>
      <c r="M1694" s="3"/>
      <c r="N1694" s="3"/>
    </row>
    <row r="1695" spans="1:14" ht="16.5" customHeight="1">
      <c r="A1695" s="3"/>
      <c r="B1695" s="3"/>
      <c r="C1695" s="3"/>
      <c r="D1695" s="3"/>
      <c r="E1695" s="3"/>
      <c r="F1695" s="3"/>
      <c r="G1695" s="3"/>
      <c r="H1695" s="3"/>
      <c r="I1695" s="3"/>
      <c r="J1695" s="3"/>
      <c r="K1695" s="3"/>
      <c r="L1695" s="3"/>
      <c r="M1695" s="3"/>
      <c r="N1695" s="3"/>
    </row>
    <row r="1696" spans="1:14" ht="16.5" customHeight="1">
      <c r="A1696" s="3"/>
      <c r="B1696" s="3"/>
      <c r="C1696" s="3"/>
      <c r="D1696" s="3"/>
      <c r="E1696" s="3"/>
      <c r="F1696" s="3"/>
      <c r="G1696" s="3"/>
      <c r="H1696" s="3"/>
      <c r="I1696" s="3"/>
      <c r="J1696" s="3"/>
      <c r="K1696" s="3"/>
      <c r="L1696" s="3"/>
      <c r="M1696" s="3"/>
      <c r="N1696" s="3"/>
    </row>
    <row r="1697" spans="1:14" ht="16.5" customHeight="1">
      <c r="A1697" s="3"/>
      <c r="B1697" s="3"/>
      <c r="C1697" s="3"/>
      <c r="D1697" s="3"/>
      <c r="E1697" s="3"/>
      <c r="F1697" s="3"/>
      <c r="G1697" s="3"/>
      <c r="H1697" s="3"/>
      <c r="I1697" s="3"/>
      <c r="J1697" s="3"/>
      <c r="K1697" s="3"/>
      <c r="L1697" s="3"/>
      <c r="M1697" s="3"/>
      <c r="N1697" s="3"/>
    </row>
    <row r="1698" spans="1:14" ht="16.5" customHeight="1">
      <c r="A1698" s="3"/>
      <c r="B1698" s="3"/>
      <c r="C1698" s="3"/>
      <c r="D1698" s="3"/>
      <c r="E1698" s="3"/>
      <c r="F1698" s="3"/>
      <c r="G1698" s="3"/>
      <c r="H1698" s="3"/>
      <c r="I1698" s="3"/>
      <c r="J1698" s="3"/>
      <c r="K1698" s="3"/>
      <c r="L1698" s="3"/>
      <c r="M1698" s="3"/>
      <c r="N1698" s="3"/>
    </row>
    <row r="1699" spans="1:14" ht="16.5" customHeight="1">
      <c r="A1699" s="3"/>
      <c r="B1699" s="3"/>
      <c r="C1699" s="3"/>
      <c r="D1699" s="3"/>
      <c r="E1699" s="3"/>
      <c r="F1699" s="3"/>
      <c r="G1699" s="3"/>
      <c r="H1699" s="3"/>
      <c r="I1699" s="3"/>
      <c r="J1699" s="3"/>
      <c r="K1699" s="3"/>
      <c r="L1699" s="3"/>
      <c r="M1699" s="3"/>
      <c r="N1699" s="3"/>
    </row>
    <row r="1700" spans="1:14" ht="16.5" customHeight="1">
      <c r="A1700" s="3"/>
      <c r="B1700" s="3"/>
      <c r="C1700" s="3"/>
      <c r="D1700" s="3"/>
      <c r="E1700" s="3"/>
      <c r="F1700" s="3"/>
      <c r="G1700" s="3"/>
      <c r="H1700" s="3"/>
      <c r="I1700" s="3"/>
      <c r="J1700" s="3"/>
      <c r="K1700" s="3"/>
      <c r="L1700" s="3"/>
      <c r="M1700" s="3"/>
      <c r="N1700" s="3"/>
    </row>
    <row r="1701" spans="1:14" ht="16.5" customHeight="1">
      <c r="A1701" s="3"/>
      <c r="B1701" s="3"/>
      <c r="C1701" s="3"/>
      <c r="D1701" s="3"/>
      <c r="E1701" s="3"/>
      <c r="F1701" s="3"/>
      <c r="G1701" s="3"/>
      <c r="H1701" s="3"/>
      <c r="I1701" s="3"/>
      <c r="J1701" s="3"/>
      <c r="K1701" s="3"/>
      <c r="L1701" s="3"/>
      <c r="M1701" s="3"/>
      <c r="N1701" s="3"/>
    </row>
    <row r="1702" spans="1:14" ht="16.5" customHeight="1">
      <c r="A1702" s="3"/>
      <c r="B1702" s="3"/>
      <c r="C1702" s="3"/>
      <c r="D1702" s="3"/>
      <c r="E1702" s="3"/>
      <c r="F1702" s="3"/>
      <c r="G1702" s="3"/>
      <c r="H1702" s="3"/>
      <c r="I1702" s="3"/>
      <c r="J1702" s="3"/>
      <c r="K1702" s="3"/>
      <c r="L1702" s="3"/>
      <c r="M1702" s="3"/>
      <c r="N1702" s="3"/>
    </row>
    <row r="1703" spans="1:14" ht="16.5" customHeight="1">
      <c r="A1703" s="3"/>
      <c r="B1703" s="3"/>
      <c r="C1703" s="3"/>
      <c r="D1703" s="3"/>
      <c r="E1703" s="3"/>
      <c r="F1703" s="3"/>
      <c r="G1703" s="3"/>
      <c r="H1703" s="3"/>
      <c r="I1703" s="3"/>
      <c r="J1703" s="3"/>
      <c r="K1703" s="3"/>
      <c r="L1703" s="3"/>
      <c r="M1703" s="3"/>
      <c r="N1703" s="3"/>
    </row>
    <row r="1704" spans="1:14" ht="16.5" customHeight="1">
      <c r="A1704" s="3"/>
      <c r="B1704" s="3"/>
      <c r="C1704" s="3"/>
      <c r="D1704" s="3"/>
      <c r="E1704" s="3"/>
      <c r="F1704" s="3"/>
      <c r="G1704" s="3"/>
      <c r="H1704" s="3"/>
      <c r="I1704" s="3"/>
      <c r="J1704" s="3"/>
      <c r="K1704" s="3"/>
      <c r="L1704" s="3"/>
      <c r="M1704" s="3"/>
      <c r="N1704" s="3"/>
    </row>
    <row r="1705" spans="1:14" ht="16.5" customHeight="1">
      <c r="A1705" s="3"/>
      <c r="B1705" s="3"/>
      <c r="C1705" s="3"/>
      <c r="D1705" s="3"/>
      <c r="E1705" s="3"/>
      <c r="F1705" s="3"/>
      <c r="G1705" s="3"/>
      <c r="H1705" s="3"/>
      <c r="I1705" s="3"/>
      <c r="J1705" s="3"/>
      <c r="K1705" s="3"/>
      <c r="L1705" s="3"/>
      <c r="M1705" s="3"/>
      <c r="N1705" s="3"/>
    </row>
    <row r="1706" spans="1:14" ht="16.5" customHeight="1">
      <c r="A1706" s="3"/>
      <c r="B1706" s="3"/>
      <c r="C1706" s="3"/>
      <c r="D1706" s="3"/>
      <c r="E1706" s="3"/>
      <c r="F1706" s="3"/>
      <c r="G1706" s="3"/>
      <c r="H1706" s="3"/>
      <c r="I1706" s="3"/>
      <c r="J1706" s="3"/>
      <c r="K1706" s="3"/>
      <c r="L1706" s="3"/>
      <c r="M1706" s="3"/>
      <c r="N1706" s="3"/>
    </row>
    <row r="1707" spans="1:14" ht="16.5" customHeight="1">
      <c r="A1707" s="3"/>
      <c r="B1707" s="3"/>
      <c r="C1707" s="3"/>
      <c r="D1707" s="3"/>
      <c r="E1707" s="3"/>
      <c r="F1707" s="3"/>
      <c r="G1707" s="3"/>
      <c r="H1707" s="3"/>
      <c r="I1707" s="3"/>
      <c r="J1707" s="3"/>
      <c r="K1707" s="3"/>
      <c r="L1707" s="3"/>
      <c r="M1707" s="3"/>
      <c r="N1707" s="3"/>
    </row>
    <row r="1708" spans="1:14" ht="16.5" customHeight="1">
      <c r="A1708" s="3"/>
      <c r="B1708" s="3"/>
      <c r="C1708" s="3"/>
      <c r="D1708" s="3"/>
      <c r="E1708" s="3"/>
      <c r="F1708" s="3"/>
      <c r="G1708" s="3"/>
      <c r="H1708" s="3"/>
      <c r="I1708" s="3"/>
      <c r="J1708" s="3"/>
      <c r="K1708" s="3"/>
      <c r="L1708" s="3"/>
      <c r="M1708" s="3"/>
      <c r="N1708" s="3"/>
    </row>
    <row r="1709" spans="1:14" ht="16.5" customHeight="1">
      <c r="A1709" s="3"/>
      <c r="B1709" s="3"/>
      <c r="C1709" s="3"/>
      <c r="D1709" s="3"/>
      <c r="E1709" s="3"/>
      <c r="F1709" s="3"/>
      <c r="G1709" s="3"/>
      <c r="H1709" s="3"/>
      <c r="I1709" s="3"/>
      <c r="J1709" s="3"/>
      <c r="K1709" s="3"/>
      <c r="L1709" s="3"/>
      <c r="M1709" s="3"/>
      <c r="N1709" s="3"/>
    </row>
    <row r="1710" spans="1:14" ht="16.5" customHeight="1">
      <c r="A1710" s="3"/>
      <c r="B1710" s="3"/>
      <c r="C1710" s="3"/>
      <c r="D1710" s="3"/>
      <c r="E1710" s="3"/>
      <c r="F1710" s="3"/>
      <c r="G1710" s="3"/>
      <c r="H1710" s="3"/>
      <c r="I1710" s="3"/>
      <c r="J1710" s="3"/>
      <c r="K1710" s="3"/>
      <c r="L1710" s="3"/>
      <c r="M1710" s="3"/>
      <c r="N1710" s="3"/>
    </row>
    <row r="1711" spans="1:14" ht="16.5" customHeight="1">
      <c r="A1711" s="3"/>
      <c r="B1711" s="3"/>
      <c r="C1711" s="3"/>
      <c r="D1711" s="3"/>
      <c r="E1711" s="3"/>
      <c r="F1711" s="3"/>
      <c r="G1711" s="3"/>
      <c r="H1711" s="3"/>
      <c r="I1711" s="3"/>
      <c r="J1711" s="3"/>
      <c r="K1711" s="3"/>
      <c r="L1711" s="3"/>
      <c r="M1711" s="3"/>
      <c r="N1711" s="3"/>
    </row>
    <row r="1712" spans="1:14" ht="16.5" customHeight="1">
      <c r="A1712" s="3"/>
      <c r="B1712" s="3"/>
      <c r="C1712" s="3"/>
      <c r="D1712" s="3"/>
      <c r="E1712" s="3"/>
      <c r="F1712" s="3"/>
      <c r="G1712" s="3"/>
      <c r="H1712" s="3"/>
      <c r="I1712" s="3"/>
      <c r="J1712" s="3"/>
      <c r="K1712" s="3"/>
      <c r="L1712" s="3"/>
      <c r="M1712" s="3"/>
      <c r="N1712" s="3"/>
    </row>
    <row r="1713" spans="1:14" ht="16.5" customHeight="1">
      <c r="A1713" s="3"/>
      <c r="B1713" s="3"/>
      <c r="C1713" s="3"/>
      <c r="D1713" s="3"/>
      <c r="E1713" s="3"/>
      <c r="F1713" s="3"/>
      <c r="G1713" s="3"/>
      <c r="H1713" s="3"/>
      <c r="I1713" s="3"/>
      <c r="J1713" s="3"/>
      <c r="K1713" s="3"/>
      <c r="L1713" s="3"/>
      <c r="M1713" s="3"/>
      <c r="N1713" s="3"/>
    </row>
    <row r="1714" spans="1:14" ht="16.5" customHeight="1">
      <c r="A1714" s="3"/>
      <c r="B1714" s="3"/>
      <c r="C1714" s="3"/>
      <c r="D1714" s="3"/>
      <c r="E1714" s="3"/>
      <c r="F1714" s="3"/>
      <c r="G1714" s="3"/>
      <c r="H1714" s="3"/>
      <c r="I1714" s="3"/>
      <c r="J1714" s="3"/>
      <c r="K1714" s="3"/>
      <c r="L1714" s="3"/>
      <c r="M1714" s="3"/>
      <c r="N1714" s="3"/>
    </row>
    <row r="1715" spans="1:14" ht="16.5" customHeight="1">
      <c r="A1715" s="3"/>
      <c r="B1715" s="3"/>
      <c r="C1715" s="3"/>
      <c r="D1715" s="3"/>
      <c r="E1715" s="3"/>
      <c r="F1715" s="3"/>
      <c r="G1715" s="3"/>
      <c r="H1715" s="3"/>
      <c r="I1715" s="3"/>
      <c r="J1715" s="3"/>
      <c r="K1715" s="3"/>
      <c r="L1715" s="3"/>
      <c r="M1715" s="3"/>
      <c r="N1715" s="3"/>
    </row>
    <row r="1716" spans="1:14" ht="16.5" customHeight="1">
      <c r="A1716" s="3"/>
      <c r="B1716" s="3"/>
      <c r="C1716" s="3"/>
      <c r="D1716" s="3"/>
      <c r="E1716" s="3"/>
      <c r="F1716" s="3"/>
      <c r="G1716" s="3"/>
      <c r="H1716" s="3"/>
      <c r="I1716" s="3"/>
      <c r="J1716" s="3"/>
      <c r="K1716" s="3"/>
      <c r="L1716" s="3"/>
      <c r="M1716" s="3"/>
      <c r="N1716" s="3"/>
    </row>
    <row r="1717" spans="1:14" ht="16.5" customHeight="1">
      <c r="A1717" s="3"/>
      <c r="B1717" s="3"/>
      <c r="C1717" s="3"/>
      <c r="D1717" s="3"/>
      <c r="E1717" s="3"/>
      <c r="F1717" s="3"/>
      <c r="G1717" s="3"/>
      <c r="H1717" s="3"/>
      <c r="I1717" s="3"/>
      <c r="J1717" s="3"/>
      <c r="K1717" s="3"/>
      <c r="L1717" s="3"/>
      <c r="M1717" s="3"/>
      <c r="N1717" s="3"/>
    </row>
    <row r="1718" spans="1:14" ht="16.5" customHeight="1">
      <c r="A1718" s="3"/>
      <c r="B1718" s="3"/>
      <c r="C1718" s="3"/>
      <c r="D1718" s="3"/>
      <c r="E1718" s="3"/>
      <c r="F1718" s="3"/>
      <c r="G1718" s="3"/>
      <c r="H1718" s="3"/>
      <c r="I1718" s="3"/>
      <c r="J1718" s="3"/>
      <c r="K1718" s="3"/>
      <c r="L1718" s="3"/>
      <c r="M1718" s="3"/>
      <c r="N1718" s="3"/>
    </row>
    <row r="1719" spans="1:14" ht="16.5" customHeight="1">
      <c r="A1719" s="3"/>
      <c r="B1719" s="3"/>
      <c r="C1719" s="3"/>
      <c r="D1719" s="3"/>
      <c r="E1719" s="3"/>
      <c r="F1719" s="3"/>
      <c r="G1719" s="3"/>
      <c r="H1719" s="3"/>
      <c r="I1719" s="3"/>
      <c r="J1719" s="3"/>
      <c r="K1719" s="3"/>
      <c r="L1719" s="3"/>
      <c r="M1719" s="3"/>
      <c r="N1719" s="3"/>
    </row>
    <row r="1720" spans="1:14" ht="16.5" customHeight="1">
      <c r="A1720" s="3"/>
      <c r="B1720" s="3"/>
      <c r="C1720" s="3"/>
      <c r="D1720" s="3"/>
      <c r="E1720" s="3"/>
      <c r="F1720" s="3"/>
      <c r="G1720" s="3"/>
      <c r="H1720" s="3"/>
      <c r="I1720" s="3"/>
      <c r="J1720" s="3"/>
      <c r="K1720" s="3"/>
      <c r="L1720" s="3"/>
      <c r="M1720" s="3"/>
      <c r="N1720" s="3"/>
    </row>
    <row r="1721" spans="1:14" ht="16.5" customHeight="1">
      <c r="A1721" s="3"/>
      <c r="B1721" s="3"/>
      <c r="C1721" s="3"/>
      <c r="D1721" s="3"/>
      <c r="E1721" s="3"/>
      <c r="F1721" s="3"/>
      <c r="G1721" s="3"/>
      <c r="H1721" s="3"/>
      <c r="I1721" s="3"/>
      <c r="J1721" s="3"/>
      <c r="K1721" s="3"/>
      <c r="L1721" s="3"/>
      <c r="M1721" s="3"/>
      <c r="N1721" s="3"/>
    </row>
    <row r="1722" spans="1:14" ht="16.5" customHeight="1">
      <c r="A1722" s="3"/>
      <c r="B1722" s="3"/>
      <c r="C1722" s="3"/>
      <c r="D1722" s="3"/>
      <c r="E1722" s="3"/>
      <c r="F1722" s="3"/>
      <c r="G1722" s="3"/>
      <c r="H1722" s="3"/>
      <c r="I1722" s="3"/>
      <c r="J1722" s="3"/>
      <c r="K1722" s="3"/>
      <c r="L1722" s="3"/>
      <c r="M1722" s="3"/>
      <c r="N1722" s="3"/>
    </row>
    <row r="1723" spans="1:14" ht="16.5" customHeight="1">
      <c r="A1723" s="3"/>
      <c r="B1723" s="3"/>
      <c r="C1723" s="3"/>
      <c r="D1723" s="3"/>
      <c r="E1723" s="3"/>
      <c r="F1723" s="3"/>
      <c r="G1723" s="3"/>
      <c r="H1723" s="3"/>
      <c r="I1723" s="3"/>
      <c r="J1723" s="3"/>
      <c r="K1723" s="3"/>
      <c r="L1723" s="3"/>
      <c r="M1723" s="3"/>
      <c r="N1723" s="3"/>
    </row>
    <row r="1724" spans="1:14" ht="16.5" customHeight="1">
      <c r="A1724" s="3"/>
      <c r="B1724" s="3"/>
      <c r="C1724" s="3"/>
      <c r="D1724" s="3"/>
      <c r="E1724" s="3"/>
      <c r="F1724" s="3"/>
      <c r="G1724" s="3"/>
      <c r="H1724" s="3"/>
      <c r="I1724" s="3"/>
      <c r="J1724" s="3"/>
      <c r="K1724" s="3"/>
      <c r="L1724" s="3"/>
      <c r="M1724" s="3"/>
      <c r="N1724" s="3"/>
    </row>
    <row r="1725" spans="1:14" ht="16.5" customHeight="1">
      <c r="A1725" s="3"/>
      <c r="B1725" s="3"/>
      <c r="C1725" s="3"/>
      <c r="D1725" s="3"/>
      <c r="E1725" s="3"/>
      <c r="F1725" s="3"/>
      <c r="G1725" s="3"/>
      <c r="H1725" s="3"/>
      <c r="I1725" s="3"/>
      <c r="J1725" s="3"/>
      <c r="K1725" s="3"/>
      <c r="L1725" s="3"/>
      <c r="M1725" s="3"/>
      <c r="N1725" s="3"/>
    </row>
    <row r="1726" spans="1:14" ht="16.5" customHeight="1">
      <c r="A1726" s="3"/>
      <c r="B1726" s="3"/>
      <c r="C1726" s="3"/>
      <c r="D1726" s="3"/>
      <c r="E1726" s="3"/>
      <c r="F1726" s="3"/>
      <c r="G1726" s="3"/>
      <c r="H1726" s="3"/>
      <c r="I1726" s="3"/>
      <c r="J1726" s="3"/>
      <c r="K1726" s="3"/>
      <c r="L1726" s="3"/>
      <c r="M1726" s="3"/>
      <c r="N1726" s="3"/>
    </row>
    <row r="1727" spans="1:14" ht="16.5" customHeight="1">
      <c r="A1727" s="3"/>
      <c r="B1727" s="3"/>
      <c r="C1727" s="3"/>
      <c r="D1727" s="3"/>
      <c r="E1727" s="3"/>
      <c r="F1727" s="3"/>
      <c r="G1727" s="3"/>
      <c r="H1727" s="3"/>
      <c r="I1727" s="3"/>
      <c r="J1727" s="3"/>
      <c r="K1727" s="3"/>
      <c r="L1727" s="3"/>
      <c r="M1727" s="3"/>
      <c r="N1727" s="3"/>
    </row>
    <row r="1728" spans="1:14" ht="16.5" customHeight="1">
      <c r="A1728" s="3"/>
      <c r="B1728" s="3"/>
      <c r="C1728" s="3"/>
      <c r="D1728" s="3"/>
      <c r="E1728" s="3"/>
      <c r="F1728" s="3"/>
      <c r="G1728" s="3"/>
      <c r="H1728" s="3"/>
      <c r="I1728" s="3"/>
      <c r="J1728" s="3"/>
      <c r="K1728" s="3"/>
      <c r="L1728" s="3"/>
      <c r="M1728" s="3"/>
      <c r="N1728" s="3"/>
    </row>
    <row r="1729" spans="1:14" ht="16.5" customHeight="1">
      <c r="A1729" s="3"/>
      <c r="B1729" s="3"/>
      <c r="C1729" s="3"/>
      <c r="D1729" s="3"/>
      <c r="E1729" s="3"/>
      <c r="F1729" s="3"/>
      <c r="G1729" s="3"/>
      <c r="H1729" s="3"/>
      <c r="I1729" s="3"/>
      <c r="J1729" s="3"/>
      <c r="K1729" s="3"/>
      <c r="L1729" s="3"/>
      <c r="M1729" s="3"/>
      <c r="N1729" s="3"/>
    </row>
    <row r="1730" spans="1:14" ht="16.5" customHeight="1">
      <c r="A1730" s="3"/>
      <c r="B1730" s="3"/>
      <c r="C1730" s="3"/>
      <c r="D1730" s="3"/>
      <c r="E1730" s="3"/>
      <c r="F1730" s="3"/>
      <c r="G1730" s="3"/>
      <c r="H1730" s="3"/>
      <c r="I1730" s="3"/>
      <c r="J1730" s="3"/>
      <c r="K1730" s="3"/>
      <c r="L1730" s="3"/>
      <c r="M1730" s="3"/>
      <c r="N1730" s="3"/>
    </row>
    <row r="1731" spans="1:14" ht="16.5" customHeight="1">
      <c r="A1731" s="3"/>
      <c r="B1731" s="3"/>
      <c r="C1731" s="3"/>
      <c r="D1731" s="3"/>
      <c r="E1731" s="3"/>
      <c r="F1731" s="3"/>
      <c r="G1731" s="3"/>
      <c r="H1731" s="3"/>
      <c r="I1731" s="3"/>
      <c r="J1731" s="3"/>
      <c r="K1731" s="3"/>
      <c r="L1731" s="3"/>
      <c r="M1731" s="3"/>
      <c r="N1731" s="3"/>
    </row>
    <row r="1732" spans="1:14" ht="16.5" customHeight="1">
      <c r="A1732" s="3"/>
      <c r="B1732" s="3"/>
      <c r="C1732" s="3"/>
      <c r="D1732" s="3"/>
      <c r="E1732" s="3"/>
      <c r="F1732" s="3"/>
      <c r="G1732" s="3"/>
      <c r="H1732" s="3"/>
      <c r="I1732" s="3"/>
      <c r="J1732" s="3"/>
      <c r="K1732" s="3"/>
      <c r="L1732" s="3"/>
      <c r="M1732" s="3"/>
      <c r="N1732" s="3"/>
    </row>
    <row r="1733" spans="1:14" ht="16.5" customHeight="1">
      <c r="A1733" s="3"/>
      <c r="B1733" s="3"/>
      <c r="C1733" s="3"/>
      <c r="D1733" s="3"/>
      <c r="E1733" s="3"/>
      <c r="F1733" s="3"/>
      <c r="G1733" s="3"/>
      <c r="H1733" s="3"/>
      <c r="I1733" s="3"/>
      <c r="J1733" s="3"/>
      <c r="K1733" s="3"/>
      <c r="L1733" s="3"/>
      <c r="M1733" s="3"/>
      <c r="N1733" s="3"/>
    </row>
    <row r="1734" spans="1:14" ht="16.5" customHeight="1">
      <c r="A1734" s="3"/>
      <c r="B1734" s="3"/>
      <c r="C1734" s="3"/>
      <c r="D1734" s="3"/>
      <c r="E1734" s="3"/>
      <c r="F1734" s="3"/>
      <c r="G1734" s="3"/>
      <c r="H1734" s="3"/>
      <c r="I1734" s="3"/>
      <c r="J1734" s="3"/>
      <c r="K1734" s="3"/>
      <c r="L1734" s="3"/>
      <c r="M1734" s="3"/>
      <c r="N1734" s="3"/>
    </row>
    <row r="1735" spans="1:14" ht="16.5" customHeight="1">
      <c r="A1735" s="3"/>
      <c r="B1735" s="3"/>
      <c r="C1735" s="3"/>
      <c r="D1735" s="3"/>
      <c r="E1735" s="3"/>
      <c r="F1735" s="3"/>
      <c r="G1735" s="3"/>
      <c r="H1735" s="3"/>
      <c r="I1735" s="3"/>
      <c r="J1735" s="3"/>
      <c r="K1735" s="3"/>
      <c r="L1735" s="3"/>
      <c r="M1735" s="3"/>
      <c r="N1735" s="3"/>
    </row>
    <row r="1736" spans="1:14" ht="16.5" customHeight="1">
      <c r="A1736" s="3"/>
      <c r="B1736" s="3"/>
      <c r="C1736" s="3"/>
      <c r="D1736" s="3"/>
      <c r="E1736" s="3"/>
      <c r="F1736" s="3"/>
      <c r="G1736" s="3"/>
      <c r="H1736" s="3"/>
      <c r="I1736" s="3"/>
      <c r="J1736" s="3"/>
      <c r="K1736" s="3"/>
      <c r="L1736" s="3"/>
      <c r="M1736" s="3"/>
      <c r="N1736" s="3"/>
    </row>
    <row r="1737" spans="1:14" ht="16.5" customHeight="1">
      <c r="A1737" s="3"/>
      <c r="B1737" s="3"/>
      <c r="C1737" s="3"/>
      <c r="D1737" s="3"/>
      <c r="E1737" s="3"/>
      <c r="F1737" s="3"/>
      <c r="G1737" s="3"/>
      <c r="H1737" s="3"/>
      <c r="I1737" s="3"/>
      <c r="J1737" s="3"/>
      <c r="K1737" s="3"/>
      <c r="L1737" s="3"/>
      <c r="M1737" s="3"/>
      <c r="N1737" s="3"/>
    </row>
    <row r="1738" spans="1:14" ht="16.5" customHeight="1">
      <c r="A1738" s="3"/>
      <c r="B1738" s="3"/>
      <c r="C1738" s="3"/>
      <c r="D1738" s="3"/>
      <c r="E1738" s="3"/>
      <c r="F1738" s="3"/>
      <c r="G1738" s="3"/>
      <c r="H1738" s="3"/>
      <c r="I1738" s="3"/>
      <c r="J1738" s="3"/>
      <c r="K1738" s="3"/>
      <c r="L1738" s="3"/>
      <c r="M1738" s="3"/>
      <c r="N1738" s="3"/>
    </row>
    <row r="1739" spans="1:14" ht="16.5" customHeight="1">
      <c r="A1739" s="3"/>
      <c r="B1739" s="3"/>
      <c r="C1739" s="3"/>
      <c r="D1739" s="3"/>
      <c r="E1739" s="3"/>
      <c r="F1739" s="3"/>
      <c r="G1739" s="3"/>
      <c r="H1739" s="3"/>
      <c r="I1739" s="3"/>
      <c r="J1739" s="3"/>
      <c r="K1739" s="3"/>
      <c r="L1739" s="3"/>
      <c r="M1739" s="3"/>
      <c r="N1739" s="3"/>
    </row>
    <row r="1740" spans="1:14" ht="16.5" customHeight="1">
      <c r="A1740" s="3"/>
      <c r="B1740" s="3"/>
      <c r="C1740" s="3"/>
      <c r="D1740" s="3"/>
      <c r="E1740" s="3"/>
      <c r="F1740" s="3"/>
      <c r="G1740" s="3"/>
      <c r="H1740" s="3"/>
      <c r="I1740" s="3"/>
      <c r="J1740" s="3"/>
      <c r="K1740" s="3"/>
      <c r="L1740" s="3"/>
      <c r="M1740" s="3"/>
      <c r="N1740" s="3"/>
    </row>
    <row r="1741" spans="1:14" ht="16.5" customHeight="1">
      <c r="A1741" s="3"/>
      <c r="B1741" s="3"/>
      <c r="C1741" s="3"/>
      <c r="D1741" s="3"/>
      <c r="E1741" s="3"/>
      <c r="F1741" s="3"/>
      <c r="G1741" s="3"/>
      <c r="H1741" s="3"/>
      <c r="I1741" s="3"/>
      <c r="J1741" s="3"/>
      <c r="K1741" s="3"/>
      <c r="L1741" s="3"/>
      <c r="M1741" s="3"/>
      <c r="N1741" s="3"/>
    </row>
    <row r="1742" spans="1:14" ht="16.5" customHeight="1">
      <c r="A1742" s="3"/>
      <c r="B1742" s="3"/>
      <c r="C1742" s="3"/>
      <c r="D1742" s="3"/>
      <c r="E1742" s="3"/>
      <c r="F1742" s="3"/>
      <c r="G1742" s="3"/>
      <c r="H1742" s="3"/>
      <c r="I1742" s="3"/>
      <c r="J1742" s="3"/>
      <c r="K1742" s="3"/>
      <c r="L1742" s="3"/>
      <c r="M1742" s="3"/>
      <c r="N1742" s="3"/>
    </row>
    <row r="1743" spans="1:14" ht="16.5" customHeight="1">
      <c r="A1743" s="3"/>
      <c r="B1743" s="3"/>
      <c r="C1743" s="3"/>
      <c r="D1743" s="3"/>
      <c r="E1743" s="3"/>
      <c r="F1743" s="3"/>
      <c r="G1743" s="3"/>
      <c r="H1743" s="3"/>
      <c r="I1743" s="3"/>
      <c r="J1743" s="3"/>
      <c r="K1743" s="3"/>
      <c r="L1743" s="3"/>
      <c r="M1743" s="3"/>
      <c r="N1743" s="3"/>
    </row>
    <row r="1744" spans="1:14" ht="16.5" customHeight="1">
      <c r="A1744" s="3"/>
      <c r="B1744" s="3"/>
      <c r="C1744" s="3"/>
      <c r="D1744" s="3"/>
      <c r="E1744" s="3"/>
      <c r="F1744" s="3"/>
      <c r="G1744" s="3"/>
      <c r="H1744" s="3"/>
      <c r="I1744" s="3"/>
      <c r="J1744" s="3"/>
      <c r="K1744" s="3"/>
      <c r="L1744" s="3"/>
      <c r="M1744" s="3"/>
      <c r="N1744" s="3"/>
    </row>
    <row r="1745" spans="1:14" ht="16.5" customHeight="1">
      <c r="A1745" s="3"/>
      <c r="B1745" s="3"/>
      <c r="C1745" s="3"/>
      <c r="D1745" s="3"/>
      <c r="E1745" s="3"/>
      <c r="F1745" s="3"/>
      <c r="G1745" s="3"/>
      <c r="H1745" s="3"/>
      <c r="I1745" s="3"/>
      <c r="J1745" s="3"/>
      <c r="K1745" s="3"/>
      <c r="L1745" s="3"/>
      <c r="M1745" s="3"/>
      <c r="N1745" s="3"/>
    </row>
    <row r="1746" spans="1:14" ht="16.5" customHeight="1">
      <c r="A1746" s="3"/>
      <c r="B1746" s="3"/>
      <c r="C1746" s="3"/>
      <c r="D1746" s="3"/>
      <c r="E1746" s="3"/>
      <c r="F1746" s="3"/>
      <c r="G1746" s="3"/>
      <c r="H1746" s="3"/>
      <c r="I1746" s="3"/>
      <c r="J1746" s="3"/>
      <c r="K1746" s="3"/>
      <c r="L1746" s="3"/>
      <c r="M1746" s="3"/>
      <c r="N1746" s="3"/>
    </row>
    <row r="1747" spans="1:14" ht="16.5" customHeight="1">
      <c r="A1747" s="3"/>
      <c r="B1747" s="3"/>
      <c r="C1747" s="3"/>
      <c r="D1747" s="3"/>
      <c r="E1747" s="3"/>
      <c r="F1747" s="3"/>
      <c r="G1747" s="3"/>
      <c r="H1747" s="3"/>
      <c r="I1747" s="3"/>
      <c r="J1747" s="3"/>
      <c r="K1747" s="3"/>
      <c r="L1747" s="3"/>
      <c r="M1747" s="3"/>
      <c r="N1747" s="3"/>
    </row>
    <row r="1748" spans="1:14" ht="16.5" customHeight="1">
      <c r="A1748" s="3"/>
      <c r="B1748" s="3"/>
      <c r="C1748" s="3"/>
      <c r="D1748" s="3"/>
      <c r="E1748" s="3"/>
      <c r="F1748" s="3"/>
      <c r="G1748" s="3"/>
      <c r="H1748" s="3"/>
      <c r="I1748" s="3"/>
      <c r="J1748" s="3"/>
      <c r="K1748" s="3"/>
      <c r="L1748" s="3"/>
      <c r="M1748" s="3"/>
      <c r="N1748" s="3"/>
    </row>
    <row r="1749" spans="1:14" ht="16.5" customHeight="1">
      <c r="A1749" s="3"/>
      <c r="B1749" s="3"/>
      <c r="C1749" s="3"/>
      <c r="D1749" s="3"/>
      <c r="E1749" s="3"/>
      <c r="F1749" s="3"/>
      <c r="G1749" s="3"/>
      <c r="H1749" s="3"/>
      <c r="I1749" s="3"/>
      <c r="J1749" s="3"/>
      <c r="K1749" s="3"/>
      <c r="L1749" s="3"/>
      <c r="M1749" s="3"/>
      <c r="N1749" s="3"/>
    </row>
    <row r="1750" spans="1:14" ht="16.5" customHeight="1">
      <c r="A1750" s="3"/>
      <c r="B1750" s="3"/>
      <c r="C1750" s="3"/>
      <c r="D1750" s="3"/>
      <c r="E1750" s="3"/>
      <c r="F1750" s="3"/>
      <c r="G1750" s="3"/>
      <c r="H1750" s="3"/>
      <c r="I1750" s="3"/>
      <c r="J1750" s="3"/>
      <c r="K1750" s="3"/>
      <c r="L1750" s="3"/>
      <c r="M1750" s="3"/>
      <c r="N1750" s="3"/>
    </row>
    <row r="1751" spans="1:14" ht="16.5" customHeight="1">
      <c r="A1751" s="3"/>
      <c r="B1751" s="3"/>
      <c r="C1751" s="3"/>
      <c r="D1751" s="3"/>
      <c r="E1751" s="3"/>
      <c r="F1751" s="3"/>
      <c r="G1751" s="3"/>
      <c r="H1751" s="3"/>
      <c r="I1751" s="3"/>
      <c r="J1751" s="3"/>
      <c r="K1751" s="3"/>
      <c r="L1751" s="3"/>
      <c r="M1751" s="3"/>
      <c r="N1751" s="3"/>
    </row>
    <row r="1752" spans="1:14" ht="16.5" customHeight="1">
      <c r="A1752" s="3"/>
      <c r="B1752" s="3"/>
      <c r="C1752" s="3"/>
      <c r="D1752" s="3"/>
      <c r="E1752" s="3"/>
      <c r="F1752" s="3"/>
      <c r="G1752" s="3"/>
      <c r="H1752" s="3"/>
      <c r="I1752" s="3"/>
      <c r="J1752" s="3"/>
      <c r="K1752" s="3"/>
      <c r="L1752" s="3"/>
      <c r="M1752" s="3"/>
      <c r="N1752" s="3"/>
    </row>
    <row r="1753" spans="1:14" ht="16.5" customHeight="1">
      <c r="A1753" s="3"/>
      <c r="B1753" s="3"/>
      <c r="C1753" s="3"/>
      <c r="D1753" s="3"/>
      <c r="E1753" s="3"/>
      <c r="F1753" s="3"/>
      <c r="G1753" s="3"/>
      <c r="H1753" s="3"/>
      <c r="I1753" s="3"/>
      <c r="J1753" s="3"/>
      <c r="K1753" s="3"/>
      <c r="L1753" s="3"/>
      <c r="M1753" s="3"/>
      <c r="N1753" s="3"/>
    </row>
    <row r="1754" spans="1:14" ht="16.5" customHeight="1">
      <c r="A1754" s="3"/>
      <c r="B1754" s="3"/>
      <c r="C1754" s="3"/>
      <c r="D1754" s="3"/>
      <c r="E1754" s="3"/>
      <c r="F1754" s="3"/>
      <c r="G1754" s="3"/>
      <c r="H1754" s="3"/>
      <c r="I1754" s="3"/>
      <c r="J1754" s="3"/>
      <c r="K1754" s="3"/>
      <c r="L1754" s="3"/>
      <c r="M1754" s="3"/>
      <c r="N1754" s="3"/>
    </row>
    <row r="1755" spans="1:14" ht="16.5" customHeight="1">
      <c r="A1755" s="3"/>
      <c r="B1755" s="3"/>
      <c r="C1755" s="3"/>
      <c r="D1755" s="3"/>
      <c r="E1755" s="3"/>
      <c r="F1755" s="3"/>
      <c r="G1755" s="3"/>
      <c r="H1755" s="3"/>
      <c r="I1755" s="3"/>
      <c r="J1755" s="3"/>
      <c r="K1755" s="3"/>
      <c r="L1755" s="3"/>
      <c r="M1755" s="3"/>
      <c r="N1755" s="3"/>
    </row>
    <row r="1756" spans="1:14" ht="16.5" customHeight="1">
      <c r="A1756" s="3"/>
      <c r="B1756" s="3"/>
      <c r="C1756" s="3"/>
      <c r="D1756" s="3"/>
      <c r="E1756" s="3"/>
      <c r="F1756" s="3"/>
      <c r="G1756" s="3"/>
      <c r="H1756" s="3"/>
      <c r="I1756" s="3"/>
      <c r="J1756" s="3"/>
      <c r="K1756" s="3"/>
      <c r="L1756" s="3"/>
      <c r="M1756" s="3"/>
      <c r="N1756" s="3"/>
    </row>
    <row r="1757" spans="1:14" ht="16.5" customHeight="1">
      <c r="A1757" s="3"/>
      <c r="B1757" s="3"/>
      <c r="C1757" s="3"/>
      <c r="D1757" s="3"/>
      <c r="E1757" s="3"/>
      <c r="F1757" s="3"/>
      <c r="G1757" s="3"/>
      <c r="H1757" s="3"/>
      <c r="I1757" s="3"/>
      <c r="J1757" s="3"/>
      <c r="K1757" s="3"/>
      <c r="L1757" s="3"/>
      <c r="M1757" s="3"/>
      <c r="N1757" s="3"/>
    </row>
    <row r="1758" spans="1:14" ht="16.5" customHeight="1">
      <c r="A1758" s="3"/>
      <c r="B1758" s="3"/>
      <c r="C1758" s="3"/>
      <c r="D1758" s="3"/>
      <c r="E1758" s="3"/>
      <c r="F1758" s="3"/>
      <c r="G1758" s="3"/>
      <c r="H1758" s="3"/>
      <c r="I1758" s="3"/>
      <c r="J1758" s="3"/>
      <c r="K1758" s="3"/>
      <c r="L1758" s="3"/>
      <c r="M1758" s="3"/>
      <c r="N1758" s="3"/>
    </row>
    <row r="1759" spans="1:14" ht="16.5" customHeight="1">
      <c r="A1759" s="3"/>
      <c r="B1759" s="3"/>
      <c r="C1759" s="3"/>
      <c r="D1759" s="3"/>
      <c r="E1759" s="3"/>
      <c r="F1759" s="3"/>
      <c r="G1759" s="3"/>
      <c r="H1759" s="3"/>
      <c r="I1759" s="3"/>
      <c r="J1759" s="3"/>
      <c r="K1759" s="3"/>
      <c r="L1759" s="3"/>
      <c r="M1759" s="3"/>
      <c r="N1759" s="3"/>
    </row>
    <row r="1760" spans="1:14" ht="16.5" customHeight="1">
      <c r="A1760" s="3"/>
      <c r="B1760" s="3"/>
      <c r="C1760" s="3"/>
      <c r="D1760" s="3"/>
      <c r="E1760" s="3"/>
      <c r="F1760" s="3"/>
      <c r="G1760" s="3"/>
      <c r="H1760" s="3"/>
      <c r="I1760" s="3"/>
      <c r="J1760" s="3"/>
      <c r="K1760" s="3"/>
      <c r="L1760" s="3"/>
      <c r="M1760" s="3"/>
      <c r="N1760" s="3"/>
    </row>
    <row r="1761" spans="1:14" ht="16.5" customHeight="1">
      <c r="A1761" s="3"/>
      <c r="B1761" s="3"/>
      <c r="C1761" s="3"/>
      <c r="D1761" s="3"/>
      <c r="E1761" s="3"/>
      <c r="F1761" s="3"/>
      <c r="G1761" s="3"/>
      <c r="H1761" s="3"/>
      <c r="I1761" s="3"/>
      <c r="J1761" s="3"/>
      <c r="K1761" s="3"/>
      <c r="L1761" s="3"/>
      <c r="M1761" s="3"/>
      <c r="N1761" s="3"/>
    </row>
    <row r="1762" spans="1:14" ht="16.5" customHeight="1">
      <c r="A1762" s="3"/>
      <c r="B1762" s="3"/>
      <c r="C1762" s="3"/>
      <c r="D1762" s="3"/>
      <c r="E1762" s="3"/>
      <c r="F1762" s="3"/>
      <c r="G1762" s="3"/>
      <c r="H1762" s="3"/>
      <c r="I1762" s="3"/>
      <c r="J1762" s="3"/>
      <c r="K1762" s="3"/>
      <c r="L1762" s="3"/>
      <c r="M1762" s="3"/>
      <c r="N1762" s="3"/>
    </row>
    <row r="1763" spans="1:14" ht="16.5" customHeight="1">
      <c r="A1763" s="3"/>
      <c r="B1763" s="3"/>
      <c r="C1763" s="3"/>
      <c r="D1763" s="3"/>
      <c r="E1763" s="3"/>
      <c r="F1763" s="3"/>
      <c r="G1763" s="3"/>
      <c r="H1763" s="3"/>
      <c r="I1763" s="3"/>
      <c r="J1763" s="3"/>
      <c r="K1763" s="3"/>
      <c r="L1763" s="3"/>
      <c r="M1763" s="3"/>
      <c r="N1763" s="3"/>
    </row>
    <row r="1764" spans="1:14" ht="16.5" customHeight="1">
      <c r="A1764" s="3"/>
      <c r="B1764" s="3"/>
      <c r="C1764" s="3"/>
      <c r="D1764" s="3"/>
      <c r="E1764" s="3"/>
      <c r="F1764" s="3"/>
      <c r="G1764" s="3"/>
      <c r="H1764" s="3"/>
      <c r="I1764" s="3"/>
      <c r="J1764" s="3"/>
      <c r="K1764" s="3"/>
      <c r="L1764" s="3"/>
      <c r="M1764" s="3"/>
      <c r="N1764" s="3"/>
    </row>
    <row r="1765" spans="1:14" ht="16.5" customHeight="1">
      <c r="A1765" s="3"/>
      <c r="B1765" s="3"/>
      <c r="C1765" s="3"/>
      <c r="D1765" s="3"/>
      <c r="E1765" s="3"/>
      <c r="F1765" s="3"/>
      <c r="G1765" s="3"/>
      <c r="H1765" s="3"/>
      <c r="I1765" s="3"/>
      <c r="J1765" s="3"/>
      <c r="K1765" s="3"/>
      <c r="L1765" s="3"/>
      <c r="M1765" s="3"/>
      <c r="N1765" s="3"/>
    </row>
    <row r="1766" spans="1:14" ht="16.5" customHeight="1">
      <c r="A1766" s="3"/>
      <c r="B1766" s="3"/>
      <c r="C1766" s="3"/>
      <c r="D1766" s="3"/>
      <c r="E1766" s="3"/>
      <c r="F1766" s="3"/>
      <c r="G1766" s="3"/>
      <c r="H1766" s="3"/>
      <c r="I1766" s="3"/>
      <c r="J1766" s="3"/>
      <c r="K1766" s="3"/>
      <c r="L1766" s="3"/>
      <c r="M1766" s="3"/>
      <c r="N1766" s="3"/>
    </row>
    <row r="1767" spans="1:14" ht="16.5" customHeight="1">
      <c r="A1767" s="3"/>
      <c r="B1767" s="3"/>
      <c r="C1767" s="3"/>
      <c r="D1767" s="3"/>
      <c r="E1767" s="3"/>
      <c r="F1767" s="3"/>
      <c r="G1767" s="3"/>
      <c r="H1767" s="3"/>
      <c r="I1767" s="3"/>
      <c r="J1767" s="3"/>
      <c r="K1767" s="3"/>
      <c r="L1767" s="3"/>
      <c r="M1767" s="3"/>
      <c r="N1767" s="3"/>
    </row>
    <row r="1768" spans="1:14" ht="16.5" customHeight="1">
      <c r="A1768" s="3"/>
      <c r="B1768" s="3"/>
      <c r="C1768" s="3"/>
      <c r="D1768" s="3"/>
      <c r="E1768" s="3"/>
      <c r="F1768" s="3"/>
      <c r="G1768" s="3"/>
      <c r="H1768" s="3"/>
      <c r="I1768" s="3"/>
      <c r="J1768" s="3"/>
      <c r="K1768" s="3"/>
      <c r="L1768" s="3"/>
      <c r="M1768" s="3"/>
      <c r="N1768" s="3"/>
    </row>
    <row r="1769" spans="1:14" ht="16.5" customHeight="1">
      <c r="A1769" s="3"/>
      <c r="B1769" s="3"/>
      <c r="C1769" s="3"/>
      <c r="D1769" s="3"/>
      <c r="E1769" s="3"/>
      <c r="F1769" s="3"/>
      <c r="G1769" s="3"/>
      <c r="H1769" s="3"/>
      <c r="I1769" s="3"/>
      <c r="J1769" s="3"/>
      <c r="K1769" s="3"/>
      <c r="L1769" s="3"/>
      <c r="M1769" s="3"/>
      <c r="N1769" s="3"/>
    </row>
    <row r="1770" spans="1:14" ht="16.5" customHeight="1">
      <c r="A1770" s="3"/>
      <c r="B1770" s="3"/>
      <c r="C1770" s="3"/>
      <c r="D1770" s="3"/>
      <c r="E1770" s="3"/>
      <c r="F1770" s="3"/>
      <c r="G1770" s="3"/>
      <c r="H1770" s="3"/>
      <c r="I1770" s="3"/>
      <c r="J1770" s="3"/>
      <c r="K1770" s="3"/>
      <c r="L1770" s="3"/>
      <c r="M1770" s="3"/>
      <c r="N1770" s="3"/>
    </row>
    <row r="1771" spans="1:14" ht="16.5" customHeight="1">
      <c r="A1771" s="3"/>
      <c r="B1771" s="3"/>
      <c r="C1771" s="3"/>
      <c r="D1771" s="3"/>
      <c r="E1771" s="3"/>
      <c r="F1771" s="3"/>
      <c r="G1771" s="3"/>
      <c r="H1771" s="3"/>
      <c r="I1771" s="3"/>
      <c r="J1771" s="3"/>
      <c r="K1771" s="3"/>
      <c r="L1771" s="3"/>
      <c r="M1771" s="3"/>
      <c r="N1771" s="3"/>
    </row>
    <row r="1772" spans="1:14" ht="16.5" customHeight="1">
      <c r="A1772" s="3"/>
      <c r="B1772" s="3"/>
      <c r="C1772" s="3"/>
      <c r="D1772" s="3"/>
      <c r="E1772" s="3"/>
      <c r="F1772" s="3"/>
      <c r="G1772" s="3"/>
      <c r="H1772" s="3"/>
      <c r="I1772" s="3"/>
      <c r="J1772" s="3"/>
      <c r="K1772" s="3"/>
      <c r="L1772" s="3"/>
      <c r="M1772" s="3"/>
      <c r="N1772" s="3"/>
    </row>
    <row r="1773" spans="1:14" ht="16.5" customHeight="1">
      <c r="A1773" s="3"/>
      <c r="B1773" s="3"/>
      <c r="C1773" s="3"/>
      <c r="D1773" s="3"/>
      <c r="E1773" s="3"/>
      <c r="F1773" s="3"/>
      <c r="G1773" s="3"/>
      <c r="H1773" s="3"/>
      <c r="I1773" s="3"/>
      <c r="J1773" s="3"/>
      <c r="K1773" s="3"/>
      <c r="L1773" s="3"/>
      <c r="M1773" s="3"/>
      <c r="N1773" s="3"/>
    </row>
    <row r="1774" spans="1:14" ht="16.5" customHeight="1">
      <c r="A1774" s="3"/>
      <c r="B1774" s="3"/>
      <c r="C1774" s="3"/>
      <c r="D1774" s="3"/>
      <c r="E1774" s="3"/>
      <c r="F1774" s="3"/>
      <c r="G1774" s="3"/>
      <c r="H1774" s="3"/>
      <c r="I1774" s="3"/>
      <c r="J1774" s="3"/>
      <c r="K1774" s="3"/>
      <c r="L1774" s="3"/>
      <c r="M1774" s="3"/>
      <c r="N1774" s="3"/>
    </row>
    <row r="1775" spans="1:14" ht="16.5" customHeight="1">
      <c r="A1775" s="3"/>
      <c r="B1775" s="3"/>
      <c r="C1775" s="3"/>
      <c r="D1775" s="3"/>
      <c r="E1775" s="3"/>
      <c r="F1775" s="3"/>
      <c r="G1775" s="3"/>
      <c r="H1775" s="3"/>
      <c r="I1775" s="3"/>
      <c r="J1775" s="3"/>
      <c r="K1775" s="3"/>
      <c r="L1775" s="3"/>
      <c r="M1775" s="3"/>
      <c r="N1775" s="3"/>
    </row>
    <row r="1776" spans="1:14" ht="16.5" customHeight="1">
      <c r="A1776" s="3"/>
      <c r="B1776" s="3"/>
      <c r="C1776" s="3"/>
      <c r="D1776" s="3"/>
      <c r="E1776" s="3"/>
      <c r="F1776" s="3"/>
      <c r="G1776" s="3"/>
      <c r="H1776" s="3"/>
      <c r="I1776" s="3"/>
      <c r="J1776" s="3"/>
      <c r="K1776" s="3"/>
      <c r="L1776" s="3"/>
      <c r="M1776" s="3"/>
      <c r="N1776" s="3"/>
    </row>
    <row r="1777" spans="1:14" ht="16.5" customHeight="1">
      <c r="A1777" s="3"/>
      <c r="B1777" s="3"/>
      <c r="C1777" s="3"/>
      <c r="D1777" s="3"/>
      <c r="E1777" s="3"/>
      <c r="F1777" s="3"/>
      <c r="G1777" s="3"/>
      <c r="H1777" s="3"/>
      <c r="I1777" s="3"/>
      <c r="J1777" s="3"/>
      <c r="K1777" s="3"/>
      <c r="L1777" s="3"/>
      <c r="M1777" s="3"/>
      <c r="N1777" s="3"/>
    </row>
    <row r="1778" spans="1:14" ht="16.5" customHeight="1">
      <c r="A1778" s="3"/>
      <c r="B1778" s="3"/>
      <c r="C1778" s="3"/>
      <c r="D1778" s="3"/>
      <c r="E1778" s="3"/>
      <c r="F1778" s="3"/>
      <c r="G1778" s="3"/>
      <c r="H1778" s="3"/>
      <c r="I1778" s="3"/>
      <c r="J1778" s="3"/>
      <c r="K1778" s="3"/>
      <c r="L1778" s="3"/>
      <c r="M1778" s="3"/>
      <c r="N1778" s="3"/>
    </row>
    <row r="1779" spans="1:14" ht="16.5" customHeight="1">
      <c r="A1779" s="3"/>
      <c r="B1779" s="3"/>
      <c r="C1779" s="3"/>
      <c r="D1779" s="3"/>
      <c r="E1779" s="3"/>
      <c r="F1779" s="3"/>
      <c r="G1779" s="3"/>
      <c r="H1779" s="3"/>
      <c r="I1779" s="3"/>
      <c r="J1779" s="3"/>
      <c r="K1779" s="3"/>
      <c r="L1779" s="3"/>
      <c r="M1779" s="3"/>
      <c r="N1779" s="3"/>
    </row>
    <row r="1780" spans="1:14" ht="16.5" customHeight="1">
      <c r="A1780" s="3"/>
      <c r="B1780" s="3"/>
      <c r="C1780" s="3"/>
      <c r="D1780" s="3"/>
      <c r="E1780" s="3"/>
      <c r="F1780" s="3"/>
      <c r="G1780" s="3"/>
      <c r="H1780" s="3"/>
      <c r="I1780" s="3"/>
      <c r="J1780" s="3"/>
      <c r="K1780" s="3"/>
      <c r="L1780" s="3"/>
      <c r="M1780" s="3"/>
      <c r="N1780" s="3"/>
    </row>
    <row r="1781" spans="1:14" ht="16.5" customHeight="1">
      <c r="A1781" s="3"/>
      <c r="B1781" s="3"/>
      <c r="C1781" s="3"/>
      <c r="D1781" s="3"/>
      <c r="E1781" s="3"/>
      <c r="F1781" s="3"/>
      <c r="G1781" s="3"/>
      <c r="H1781" s="3"/>
      <c r="I1781" s="3"/>
      <c r="J1781" s="3"/>
      <c r="K1781" s="3"/>
      <c r="L1781" s="3"/>
      <c r="M1781" s="3"/>
      <c r="N1781" s="3"/>
    </row>
    <row r="1782" spans="1:14" ht="16.5" customHeight="1">
      <c r="A1782" s="3"/>
      <c r="B1782" s="3"/>
      <c r="C1782" s="3"/>
      <c r="D1782" s="3"/>
      <c r="E1782" s="3"/>
      <c r="F1782" s="3"/>
      <c r="G1782" s="3"/>
      <c r="H1782" s="3"/>
      <c r="I1782" s="3"/>
      <c r="J1782" s="3"/>
      <c r="K1782" s="3"/>
      <c r="L1782" s="3"/>
      <c r="M1782" s="3"/>
      <c r="N1782" s="3"/>
    </row>
    <row r="1783" spans="1:14" ht="16.5" customHeight="1">
      <c r="A1783" s="3"/>
      <c r="B1783" s="3"/>
      <c r="C1783" s="3"/>
      <c r="D1783" s="3"/>
      <c r="E1783" s="3"/>
      <c r="F1783" s="3"/>
      <c r="G1783" s="3"/>
      <c r="H1783" s="3"/>
      <c r="I1783" s="3"/>
      <c r="J1783" s="3"/>
      <c r="K1783" s="3"/>
      <c r="L1783" s="3"/>
      <c r="M1783" s="3"/>
      <c r="N1783" s="3"/>
    </row>
    <row r="1784" spans="1:14" ht="16.5" customHeight="1">
      <c r="A1784" s="3"/>
      <c r="B1784" s="3"/>
      <c r="C1784" s="3"/>
      <c r="D1784" s="3"/>
      <c r="E1784" s="3"/>
      <c r="F1784" s="3"/>
      <c r="G1784" s="3"/>
      <c r="H1784" s="3"/>
      <c r="I1784" s="3"/>
      <c r="J1784" s="3"/>
      <c r="K1784" s="3"/>
      <c r="L1784" s="3"/>
      <c r="M1784" s="3"/>
      <c r="N1784" s="3"/>
    </row>
    <row r="1785" spans="1:14" ht="16.5" customHeight="1">
      <c r="A1785" s="3"/>
      <c r="B1785" s="3"/>
      <c r="C1785" s="3"/>
      <c r="D1785" s="3"/>
      <c r="E1785" s="3"/>
      <c r="F1785" s="3"/>
      <c r="G1785" s="3"/>
      <c r="H1785" s="3"/>
      <c r="I1785" s="3"/>
      <c r="J1785" s="3"/>
      <c r="K1785" s="3"/>
      <c r="L1785" s="3"/>
      <c r="M1785" s="3"/>
      <c r="N1785" s="3"/>
    </row>
    <row r="1786" spans="1:14" ht="16.5" customHeight="1">
      <c r="A1786" s="3"/>
      <c r="B1786" s="3"/>
      <c r="C1786" s="3"/>
      <c r="D1786" s="3"/>
      <c r="E1786" s="3"/>
      <c r="F1786" s="3"/>
      <c r="G1786" s="3"/>
      <c r="H1786" s="3"/>
      <c r="I1786" s="3"/>
      <c r="J1786" s="3"/>
      <c r="K1786" s="3"/>
      <c r="L1786" s="3"/>
      <c r="M1786" s="3"/>
      <c r="N1786" s="3"/>
    </row>
    <row r="1787" spans="1:14" ht="16.5" customHeight="1">
      <c r="A1787" s="3"/>
      <c r="B1787" s="3"/>
      <c r="C1787" s="3"/>
      <c r="D1787" s="3"/>
      <c r="E1787" s="3"/>
      <c r="F1787" s="3"/>
      <c r="G1787" s="3"/>
      <c r="H1787" s="3"/>
      <c r="I1787" s="3"/>
      <c r="J1787" s="3"/>
      <c r="K1787" s="3"/>
      <c r="L1787" s="3"/>
      <c r="M1787" s="3"/>
      <c r="N1787" s="3"/>
    </row>
    <row r="1788" spans="1:14" ht="16.5" customHeight="1">
      <c r="A1788" s="3"/>
      <c r="B1788" s="3"/>
      <c r="C1788" s="3"/>
      <c r="D1788" s="3"/>
      <c r="E1788" s="3"/>
      <c r="F1788" s="3"/>
      <c r="G1788" s="3"/>
      <c r="H1788" s="3"/>
      <c r="I1788" s="3"/>
      <c r="J1788" s="3"/>
      <c r="K1788" s="3"/>
      <c r="L1788" s="3"/>
      <c r="M1788" s="3"/>
      <c r="N1788" s="3"/>
    </row>
    <row r="1789" spans="1:14" ht="16.5" customHeight="1">
      <c r="A1789" s="3"/>
      <c r="B1789" s="3"/>
      <c r="C1789" s="3"/>
      <c r="D1789" s="3"/>
      <c r="E1789" s="3"/>
      <c r="F1789" s="3"/>
      <c r="G1789" s="3"/>
      <c r="H1789" s="3"/>
      <c r="I1789" s="3"/>
      <c r="J1789" s="3"/>
      <c r="K1789" s="3"/>
      <c r="L1789" s="3"/>
      <c r="M1789" s="3"/>
      <c r="N1789" s="3"/>
    </row>
    <row r="1790" spans="1:14" ht="16.5" customHeight="1">
      <c r="A1790" s="3"/>
      <c r="B1790" s="3"/>
      <c r="C1790" s="3"/>
      <c r="D1790" s="3"/>
      <c r="E1790" s="3"/>
      <c r="F1790" s="3"/>
      <c r="G1790" s="3"/>
      <c r="H1790" s="3"/>
      <c r="I1790" s="3"/>
      <c r="J1790" s="3"/>
      <c r="K1790" s="3"/>
      <c r="L1790" s="3"/>
      <c r="M1790" s="3"/>
      <c r="N1790" s="3"/>
    </row>
    <row r="1791" spans="1:14" ht="16.5" customHeight="1">
      <c r="A1791" s="3"/>
      <c r="B1791" s="3"/>
      <c r="C1791" s="3"/>
      <c r="D1791" s="3"/>
      <c r="E1791" s="3"/>
      <c r="F1791" s="3"/>
      <c r="G1791" s="3"/>
      <c r="H1791" s="3"/>
      <c r="I1791" s="3"/>
      <c r="J1791" s="3"/>
      <c r="K1791" s="3"/>
      <c r="L1791" s="3"/>
      <c r="M1791" s="3"/>
      <c r="N1791" s="3"/>
    </row>
    <row r="1792" spans="1:14" ht="16.5" customHeight="1">
      <c r="A1792" s="3"/>
      <c r="B1792" s="3"/>
      <c r="C1792" s="3"/>
      <c r="D1792" s="3"/>
      <c r="E1792" s="3"/>
      <c r="F1792" s="3"/>
      <c r="G1792" s="3"/>
      <c r="H1792" s="3"/>
      <c r="I1792" s="3"/>
      <c r="J1792" s="3"/>
      <c r="K1792" s="3"/>
      <c r="L1792" s="3"/>
      <c r="M1792" s="3"/>
      <c r="N1792" s="3"/>
    </row>
    <row r="1793" spans="1:14" ht="16.5" customHeight="1">
      <c r="A1793" s="3"/>
      <c r="B1793" s="3"/>
      <c r="C1793" s="3"/>
      <c r="D1793" s="3"/>
      <c r="E1793" s="3"/>
      <c r="F1793" s="3"/>
      <c r="G1793" s="3"/>
      <c r="H1793" s="3"/>
      <c r="I1793" s="3"/>
      <c r="J1793" s="3"/>
      <c r="K1793" s="3"/>
      <c r="L1793" s="3"/>
      <c r="M1793" s="3"/>
      <c r="N1793" s="3"/>
    </row>
    <row r="1794" spans="1:14" ht="16.5" customHeight="1">
      <c r="A1794" s="3"/>
      <c r="B1794" s="3"/>
      <c r="C1794" s="3"/>
      <c r="D1794" s="3"/>
      <c r="E1794" s="3"/>
      <c r="F1794" s="3"/>
      <c r="G1794" s="3"/>
      <c r="H1794" s="3"/>
      <c r="I1794" s="3"/>
      <c r="J1794" s="3"/>
      <c r="K1794" s="3"/>
      <c r="L1794" s="3"/>
      <c r="M1794" s="3"/>
      <c r="N1794" s="3"/>
    </row>
    <row r="1795" spans="1:14" ht="16.5" customHeight="1">
      <c r="A1795" s="3"/>
      <c r="B1795" s="3"/>
      <c r="C1795" s="3"/>
      <c r="D1795" s="3"/>
      <c r="E1795" s="3"/>
      <c r="F1795" s="3"/>
      <c r="G1795" s="3"/>
      <c r="H1795" s="3"/>
      <c r="I1795" s="3"/>
      <c r="J1795" s="3"/>
      <c r="K1795" s="3"/>
      <c r="L1795" s="3"/>
      <c r="M1795" s="3"/>
      <c r="N1795" s="3"/>
    </row>
    <row r="1796" spans="1:14" ht="16.5" customHeight="1">
      <c r="A1796" s="3"/>
      <c r="B1796" s="3"/>
      <c r="C1796" s="3"/>
      <c r="D1796" s="3"/>
      <c r="E1796" s="3"/>
      <c r="F1796" s="3"/>
      <c r="G1796" s="3"/>
      <c r="H1796" s="3"/>
      <c r="I1796" s="3"/>
      <c r="J1796" s="3"/>
      <c r="K1796" s="3"/>
      <c r="L1796" s="3"/>
      <c r="M1796" s="3"/>
      <c r="N1796" s="3"/>
    </row>
    <row r="1797" spans="1:14" ht="16.5" customHeight="1">
      <c r="A1797" s="3"/>
      <c r="B1797" s="3"/>
      <c r="C1797" s="3"/>
      <c r="D1797" s="3"/>
      <c r="E1797" s="3"/>
      <c r="F1797" s="3"/>
      <c r="G1797" s="3"/>
      <c r="H1797" s="3"/>
      <c r="I1797" s="3"/>
      <c r="J1797" s="3"/>
      <c r="K1797" s="3"/>
      <c r="L1797" s="3"/>
      <c r="M1797" s="3"/>
      <c r="N1797" s="3"/>
    </row>
    <row r="1798" spans="1:14" ht="16.5" customHeight="1">
      <c r="A1798" s="3"/>
      <c r="B1798" s="3"/>
      <c r="C1798" s="3"/>
      <c r="D1798" s="3"/>
      <c r="E1798" s="3"/>
      <c r="F1798" s="3"/>
      <c r="G1798" s="3"/>
      <c r="H1798" s="3"/>
      <c r="I1798" s="3"/>
      <c r="J1798" s="3"/>
      <c r="K1798" s="3"/>
      <c r="L1798" s="3"/>
      <c r="M1798" s="3"/>
      <c r="N1798" s="3"/>
    </row>
    <row r="1799" spans="1:14" ht="16.5" customHeight="1">
      <c r="A1799" s="3"/>
      <c r="B1799" s="3"/>
      <c r="C1799" s="3"/>
      <c r="D1799" s="3"/>
      <c r="E1799" s="3"/>
      <c r="F1799" s="3"/>
      <c r="G1799" s="3"/>
      <c r="H1799" s="3"/>
      <c r="I1799" s="3"/>
      <c r="J1799" s="3"/>
      <c r="K1799" s="3"/>
      <c r="L1799" s="3"/>
      <c r="M1799" s="3"/>
      <c r="N1799" s="3"/>
    </row>
    <row r="1800" spans="1:14" ht="16.5" customHeight="1">
      <c r="A1800" s="3"/>
      <c r="B1800" s="3"/>
      <c r="C1800" s="3"/>
      <c r="D1800" s="3"/>
      <c r="E1800" s="3"/>
      <c r="F1800" s="3"/>
      <c r="G1800" s="3"/>
      <c r="H1800" s="3"/>
      <c r="I1800" s="3"/>
      <c r="J1800" s="3"/>
      <c r="K1800" s="3"/>
      <c r="L1800" s="3"/>
      <c r="M1800" s="3"/>
      <c r="N1800" s="3"/>
    </row>
    <row r="1801" spans="1:14" ht="16.5" customHeight="1">
      <c r="A1801" s="3"/>
      <c r="B1801" s="3"/>
      <c r="C1801" s="3"/>
      <c r="D1801" s="3"/>
      <c r="E1801" s="3"/>
      <c r="F1801" s="3"/>
      <c r="G1801" s="3"/>
      <c r="H1801" s="3"/>
      <c r="I1801" s="3"/>
      <c r="J1801" s="3"/>
      <c r="K1801" s="3"/>
      <c r="L1801" s="3"/>
      <c r="M1801" s="3"/>
      <c r="N1801" s="3"/>
    </row>
    <row r="1802" spans="1:14" ht="16.5" customHeight="1">
      <c r="A1802" s="3"/>
      <c r="B1802" s="3"/>
      <c r="C1802" s="3"/>
      <c r="D1802" s="3"/>
      <c r="E1802" s="3"/>
      <c r="F1802" s="3"/>
      <c r="G1802" s="3"/>
      <c r="H1802" s="3"/>
      <c r="I1802" s="3"/>
      <c r="J1802" s="3"/>
      <c r="K1802" s="3"/>
      <c r="L1802" s="3"/>
      <c r="M1802" s="3"/>
      <c r="N1802" s="3"/>
    </row>
    <row r="1803" spans="1:14" ht="16.5" customHeight="1">
      <c r="A1803" s="3"/>
      <c r="B1803" s="3"/>
      <c r="C1803" s="3"/>
      <c r="D1803" s="3"/>
      <c r="E1803" s="3"/>
      <c r="F1803" s="3"/>
      <c r="G1803" s="3"/>
      <c r="H1803" s="3"/>
      <c r="I1803" s="3"/>
      <c r="J1803" s="3"/>
      <c r="K1803" s="3"/>
      <c r="L1803" s="3"/>
      <c r="M1803" s="3"/>
      <c r="N1803" s="3"/>
    </row>
    <row r="1804" spans="1:14" ht="16.5" customHeight="1">
      <c r="A1804" s="3"/>
      <c r="B1804" s="3"/>
      <c r="C1804" s="3"/>
      <c r="D1804" s="3"/>
      <c r="E1804" s="3"/>
      <c r="F1804" s="3"/>
      <c r="G1804" s="3"/>
      <c r="H1804" s="3"/>
      <c r="I1804" s="3"/>
      <c r="J1804" s="3"/>
      <c r="K1804" s="3"/>
      <c r="L1804" s="3"/>
      <c r="M1804" s="3"/>
      <c r="N1804" s="3"/>
    </row>
    <row r="1805" spans="1:14" ht="16.5" customHeight="1">
      <c r="A1805" s="3"/>
      <c r="B1805" s="3"/>
      <c r="C1805" s="3"/>
      <c r="D1805" s="3"/>
      <c r="E1805" s="3"/>
      <c r="F1805" s="3"/>
      <c r="G1805" s="3"/>
      <c r="H1805" s="3"/>
      <c r="I1805" s="3"/>
      <c r="J1805" s="3"/>
      <c r="K1805" s="3"/>
      <c r="L1805" s="3"/>
      <c r="M1805" s="3"/>
      <c r="N1805" s="3"/>
    </row>
    <row r="1806" spans="1:14" ht="16.5" customHeight="1">
      <c r="A1806" s="3"/>
      <c r="B1806" s="3"/>
      <c r="C1806" s="3"/>
      <c r="D1806" s="3"/>
      <c r="E1806" s="3"/>
      <c r="F1806" s="3"/>
      <c r="G1806" s="3"/>
      <c r="H1806" s="3"/>
      <c r="I1806" s="3"/>
      <c r="J1806" s="3"/>
      <c r="K1806" s="3"/>
      <c r="L1806" s="3"/>
      <c r="M1806" s="3"/>
      <c r="N1806" s="3"/>
    </row>
    <row r="1807" spans="1:14" ht="16.5" customHeight="1">
      <c r="A1807" s="3"/>
      <c r="B1807" s="3"/>
      <c r="C1807" s="3"/>
      <c r="D1807" s="3"/>
      <c r="E1807" s="3"/>
      <c r="F1807" s="3"/>
      <c r="G1807" s="3"/>
      <c r="H1807" s="3"/>
      <c r="I1807" s="3"/>
      <c r="J1807" s="3"/>
      <c r="K1807" s="3"/>
      <c r="L1807" s="3"/>
      <c r="M1807" s="3"/>
      <c r="N1807" s="3"/>
    </row>
    <row r="1808" spans="1:14" ht="16.5" customHeight="1">
      <c r="A1808" s="3"/>
      <c r="B1808" s="3"/>
      <c r="C1808" s="3"/>
      <c r="D1808" s="3"/>
      <c r="E1808" s="3"/>
      <c r="F1808" s="3"/>
      <c r="G1808" s="3"/>
      <c r="H1808" s="3"/>
      <c r="I1808" s="3"/>
      <c r="J1808" s="3"/>
      <c r="K1808" s="3"/>
      <c r="L1808" s="3"/>
      <c r="M1808" s="3"/>
      <c r="N1808" s="3"/>
    </row>
    <row r="1809" spans="1:14" ht="16.5" customHeight="1">
      <c r="A1809" s="3"/>
      <c r="B1809" s="3"/>
      <c r="C1809" s="3"/>
      <c r="D1809" s="3"/>
      <c r="E1809" s="3"/>
      <c r="F1809" s="3"/>
      <c r="G1809" s="3"/>
      <c r="H1809" s="3"/>
      <c r="I1809" s="3"/>
      <c r="J1809" s="3"/>
      <c r="K1809" s="3"/>
      <c r="L1809" s="3"/>
      <c r="M1809" s="3"/>
      <c r="N1809" s="3"/>
    </row>
    <row r="1810" spans="1:14" ht="16.5" customHeight="1">
      <c r="A1810" s="3"/>
      <c r="B1810" s="3"/>
      <c r="C1810" s="3"/>
      <c r="D1810" s="3"/>
      <c r="E1810" s="3"/>
      <c r="F1810" s="3"/>
      <c r="G1810" s="3"/>
      <c r="H1810" s="3"/>
      <c r="I1810" s="3"/>
      <c r="J1810" s="3"/>
      <c r="K1810" s="3"/>
      <c r="L1810" s="3"/>
      <c r="M1810" s="3"/>
      <c r="N1810" s="3"/>
    </row>
    <row r="1811" spans="1:14" ht="16.5" customHeight="1">
      <c r="A1811" s="3"/>
      <c r="B1811" s="3"/>
      <c r="C1811" s="3"/>
      <c r="D1811" s="3"/>
      <c r="E1811" s="3"/>
      <c r="F1811" s="3"/>
      <c r="G1811" s="3"/>
      <c r="H1811" s="3"/>
      <c r="I1811" s="3"/>
      <c r="J1811" s="3"/>
      <c r="K1811" s="3"/>
      <c r="L1811" s="3"/>
      <c r="M1811" s="3"/>
      <c r="N1811" s="3"/>
    </row>
    <row r="1812" spans="1:14" ht="16.5" customHeight="1">
      <c r="A1812" s="3"/>
      <c r="B1812" s="3"/>
      <c r="C1812" s="3"/>
      <c r="D1812" s="3"/>
      <c r="E1812" s="3"/>
      <c r="F1812" s="3"/>
      <c r="G1812" s="3"/>
      <c r="H1812" s="3"/>
      <c r="I1812" s="3"/>
      <c r="J1812" s="3"/>
      <c r="K1812" s="3"/>
      <c r="L1812" s="3"/>
      <c r="M1812" s="3"/>
      <c r="N1812" s="3"/>
    </row>
    <row r="1813" spans="1:14" ht="16.5" customHeight="1">
      <c r="A1813" s="3"/>
      <c r="B1813" s="3"/>
      <c r="C1813" s="3"/>
      <c r="D1813" s="3"/>
      <c r="E1813" s="3"/>
      <c r="F1813" s="3"/>
      <c r="G1813" s="3"/>
      <c r="H1813" s="3"/>
      <c r="I1813" s="3"/>
      <c r="J1813" s="3"/>
      <c r="K1813" s="3"/>
      <c r="L1813" s="3"/>
      <c r="M1813" s="3"/>
      <c r="N1813" s="3"/>
    </row>
    <row r="1814" spans="1:14" ht="16.5" customHeight="1">
      <c r="A1814" s="3"/>
      <c r="B1814" s="3"/>
      <c r="C1814" s="3"/>
      <c r="D1814" s="3"/>
      <c r="E1814" s="3"/>
      <c r="F1814" s="3"/>
      <c r="G1814" s="3"/>
      <c r="H1814" s="3"/>
      <c r="I1814" s="3"/>
      <c r="J1814" s="3"/>
      <c r="K1814" s="3"/>
      <c r="L1814" s="3"/>
      <c r="M1814" s="3"/>
      <c r="N1814" s="3"/>
    </row>
    <row r="1815" spans="1:14" ht="16.5" customHeight="1">
      <c r="A1815" s="3"/>
      <c r="B1815" s="3"/>
      <c r="C1815" s="3"/>
      <c r="D1815" s="3"/>
      <c r="E1815" s="3"/>
      <c r="F1815" s="3"/>
      <c r="G1815" s="3"/>
      <c r="H1815" s="3"/>
      <c r="I1815" s="3"/>
      <c r="J1815" s="3"/>
      <c r="K1815" s="3"/>
      <c r="L1815" s="3"/>
      <c r="M1815" s="3"/>
      <c r="N1815" s="3"/>
    </row>
    <row r="1816" spans="1:14" ht="16.5" customHeight="1">
      <c r="A1816" s="3"/>
      <c r="B1816" s="3"/>
      <c r="C1816" s="3"/>
      <c r="D1816" s="3"/>
      <c r="E1816" s="3"/>
      <c r="F1816" s="3"/>
      <c r="G1816" s="3"/>
      <c r="H1816" s="3"/>
      <c r="I1816" s="3"/>
      <c r="J1816" s="3"/>
      <c r="K1816" s="3"/>
      <c r="L1816" s="3"/>
      <c r="M1816" s="3"/>
      <c r="N1816" s="3"/>
    </row>
    <row r="1817" spans="1:14" ht="16.5" customHeight="1">
      <c r="A1817" s="3"/>
      <c r="B1817" s="3"/>
      <c r="C1817" s="3"/>
      <c r="D1817" s="3"/>
      <c r="E1817" s="3"/>
      <c r="F1817" s="3"/>
      <c r="G1817" s="3"/>
      <c r="H1817" s="3"/>
      <c r="I1817" s="3"/>
      <c r="J1817" s="3"/>
      <c r="K1817" s="3"/>
      <c r="L1817" s="3"/>
      <c r="M1817" s="3"/>
      <c r="N1817" s="3"/>
    </row>
    <row r="1818" spans="1:14" ht="16.5" customHeight="1">
      <c r="A1818" s="3"/>
      <c r="B1818" s="3"/>
      <c r="C1818" s="3"/>
      <c r="D1818" s="3"/>
      <c r="E1818" s="3"/>
      <c r="F1818" s="3"/>
      <c r="G1818" s="3"/>
      <c r="H1818" s="3"/>
      <c r="I1818" s="3"/>
      <c r="J1818" s="3"/>
      <c r="K1818" s="3"/>
      <c r="L1818" s="3"/>
      <c r="M1818" s="3"/>
      <c r="N1818" s="3"/>
    </row>
    <row r="1819" spans="1:14" ht="16.5" customHeight="1">
      <c r="A1819" s="3"/>
      <c r="B1819" s="3"/>
      <c r="C1819" s="3"/>
      <c r="D1819" s="3"/>
      <c r="E1819" s="3"/>
      <c r="F1819" s="3"/>
      <c r="G1819" s="3"/>
      <c r="H1819" s="3"/>
      <c r="I1819" s="3"/>
      <c r="J1819" s="3"/>
      <c r="K1819" s="3"/>
      <c r="L1819" s="3"/>
      <c r="M1819" s="3"/>
      <c r="N1819" s="3"/>
    </row>
    <row r="1820" spans="1:14" ht="16.5" customHeight="1">
      <c r="A1820" s="3"/>
      <c r="B1820" s="3"/>
      <c r="C1820" s="3"/>
      <c r="D1820" s="3"/>
      <c r="E1820" s="3"/>
      <c r="F1820" s="3"/>
      <c r="G1820" s="3"/>
      <c r="H1820" s="3"/>
      <c r="I1820" s="3"/>
      <c r="J1820" s="3"/>
      <c r="K1820" s="3"/>
      <c r="L1820" s="3"/>
      <c r="M1820" s="3"/>
      <c r="N1820" s="3"/>
    </row>
    <row r="1821" spans="1:14" ht="16.5" customHeight="1">
      <c r="A1821" s="3"/>
      <c r="B1821" s="3"/>
      <c r="C1821" s="3"/>
      <c r="D1821" s="3"/>
      <c r="E1821" s="3"/>
      <c r="F1821" s="3"/>
      <c r="G1821" s="3"/>
      <c r="H1821" s="3"/>
      <c r="I1821" s="3"/>
      <c r="J1821" s="3"/>
      <c r="K1821" s="3"/>
      <c r="L1821" s="3"/>
      <c r="M1821" s="3"/>
      <c r="N1821" s="3"/>
    </row>
    <row r="1822" spans="1:14" ht="16.5" customHeight="1">
      <c r="A1822" s="3"/>
      <c r="B1822" s="3"/>
      <c r="C1822" s="3"/>
      <c r="D1822" s="3"/>
      <c r="E1822" s="3"/>
      <c r="F1822" s="3"/>
      <c r="G1822" s="3"/>
      <c r="H1822" s="3"/>
      <c r="I1822" s="3"/>
      <c r="J1822" s="3"/>
      <c r="K1822" s="3"/>
      <c r="L1822" s="3"/>
      <c r="M1822" s="3"/>
      <c r="N1822" s="3"/>
    </row>
    <row r="1823" spans="1:14" ht="16.5" customHeight="1">
      <c r="A1823" s="3"/>
      <c r="B1823" s="3"/>
      <c r="C1823" s="3"/>
      <c r="D1823" s="3"/>
      <c r="E1823" s="3"/>
      <c r="F1823" s="3"/>
      <c r="G1823" s="3"/>
      <c r="H1823" s="3"/>
      <c r="I1823" s="3"/>
      <c r="J1823" s="3"/>
      <c r="K1823" s="3"/>
      <c r="L1823" s="3"/>
      <c r="M1823" s="3"/>
      <c r="N1823" s="3"/>
    </row>
    <row r="1824" spans="1:14" ht="16.5" customHeight="1">
      <c r="A1824" s="3"/>
      <c r="B1824" s="3"/>
      <c r="C1824" s="3"/>
      <c r="D1824" s="3"/>
      <c r="E1824" s="3"/>
      <c r="F1824" s="3"/>
      <c r="G1824" s="3"/>
      <c r="H1824" s="3"/>
      <c r="I1824" s="3"/>
      <c r="J1824" s="3"/>
      <c r="K1824" s="3"/>
      <c r="L1824" s="3"/>
      <c r="M1824" s="3"/>
      <c r="N1824" s="3"/>
    </row>
    <row r="1825" spans="1:14" ht="16.5" customHeight="1">
      <c r="A1825" s="3"/>
      <c r="B1825" s="3"/>
      <c r="C1825" s="3"/>
      <c r="D1825" s="3"/>
      <c r="E1825" s="3"/>
      <c r="F1825" s="3"/>
      <c r="G1825" s="3"/>
      <c r="H1825" s="3"/>
      <c r="I1825" s="3"/>
      <c r="J1825" s="3"/>
      <c r="K1825" s="3"/>
      <c r="L1825" s="3"/>
      <c r="M1825" s="3"/>
      <c r="N1825" s="3"/>
    </row>
    <row r="1826" spans="1:14" ht="16.5" customHeight="1">
      <c r="A1826" s="3"/>
      <c r="B1826" s="3"/>
      <c r="C1826" s="3"/>
      <c r="D1826" s="3"/>
      <c r="E1826" s="3"/>
      <c r="F1826" s="3"/>
      <c r="G1826" s="3"/>
      <c r="H1826" s="3"/>
      <c r="I1826" s="3"/>
      <c r="J1826" s="3"/>
      <c r="K1826" s="3"/>
      <c r="L1826" s="3"/>
      <c r="M1826" s="3"/>
      <c r="N1826" s="3"/>
    </row>
    <row r="1827" spans="1:14" ht="16.5" customHeight="1">
      <c r="A1827" s="3"/>
      <c r="B1827" s="3"/>
      <c r="C1827" s="3"/>
      <c r="D1827" s="3"/>
      <c r="E1827" s="3"/>
      <c r="F1827" s="3"/>
      <c r="G1827" s="3"/>
      <c r="H1827" s="3"/>
      <c r="I1827" s="3"/>
      <c r="J1827" s="3"/>
      <c r="K1827" s="3"/>
      <c r="L1827" s="3"/>
      <c r="M1827" s="3"/>
      <c r="N1827" s="3"/>
    </row>
    <row r="1828" spans="1:14" ht="16.5" customHeight="1">
      <c r="A1828" s="3"/>
      <c r="B1828" s="3"/>
      <c r="C1828" s="3"/>
      <c r="D1828" s="3"/>
      <c r="E1828" s="3"/>
      <c r="F1828" s="3"/>
      <c r="G1828" s="3"/>
      <c r="H1828" s="3"/>
      <c r="I1828" s="3"/>
      <c r="J1828" s="3"/>
      <c r="K1828" s="3"/>
      <c r="L1828" s="3"/>
      <c r="M1828" s="3"/>
      <c r="N1828" s="3"/>
    </row>
    <row r="1829" spans="1:14" ht="16.5" customHeight="1">
      <c r="A1829" s="3"/>
      <c r="B1829" s="3"/>
      <c r="C1829" s="3"/>
      <c r="D1829" s="3"/>
      <c r="E1829" s="3"/>
      <c r="F1829" s="3"/>
      <c r="G1829" s="3"/>
      <c r="H1829" s="3"/>
      <c r="I1829" s="3"/>
      <c r="J1829" s="3"/>
      <c r="K1829" s="3"/>
      <c r="L1829" s="3"/>
      <c r="M1829" s="3"/>
      <c r="N1829" s="3"/>
    </row>
    <row r="1830" spans="1:14" ht="16.5" customHeight="1">
      <c r="A1830" s="3"/>
      <c r="B1830" s="3"/>
      <c r="C1830" s="3"/>
      <c r="D1830" s="3"/>
      <c r="E1830" s="3"/>
      <c r="F1830" s="3"/>
      <c r="G1830" s="3"/>
      <c r="H1830" s="3"/>
      <c r="I1830" s="3"/>
      <c r="J1830" s="3"/>
      <c r="K1830" s="3"/>
      <c r="L1830" s="3"/>
      <c r="M1830" s="3"/>
      <c r="N1830" s="3"/>
    </row>
    <row r="1831" spans="1:14" ht="16.5" customHeight="1">
      <c r="A1831" s="3"/>
      <c r="B1831" s="3"/>
      <c r="C1831" s="3"/>
      <c r="D1831" s="3"/>
      <c r="E1831" s="3"/>
      <c r="F1831" s="3"/>
      <c r="G1831" s="3"/>
      <c r="H1831" s="3"/>
      <c r="I1831" s="3"/>
      <c r="J1831" s="3"/>
      <c r="K1831" s="3"/>
      <c r="L1831" s="3"/>
      <c r="M1831" s="3"/>
      <c r="N1831" s="3"/>
    </row>
    <row r="1832" spans="1:14" ht="16.5" customHeight="1">
      <c r="A1832" s="3"/>
      <c r="B1832" s="3"/>
      <c r="C1832" s="3"/>
      <c r="D1832" s="3"/>
      <c r="E1832" s="3"/>
      <c r="F1832" s="3"/>
      <c r="G1832" s="3"/>
      <c r="H1832" s="3"/>
      <c r="I1832" s="3"/>
      <c r="J1832" s="3"/>
      <c r="K1832" s="3"/>
      <c r="L1832" s="3"/>
      <c r="M1832" s="3"/>
      <c r="N1832" s="3"/>
    </row>
    <row r="1833" spans="1:14" ht="16.5" customHeight="1">
      <c r="A1833" s="3"/>
      <c r="B1833" s="3"/>
      <c r="C1833" s="3"/>
      <c r="D1833" s="3"/>
      <c r="E1833" s="3"/>
      <c r="F1833" s="3"/>
      <c r="G1833" s="3"/>
      <c r="H1833" s="3"/>
      <c r="I1833" s="3"/>
      <c r="J1833" s="3"/>
      <c r="K1833" s="3"/>
      <c r="L1833" s="3"/>
      <c r="M1833" s="3"/>
      <c r="N1833" s="3"/>
    </row>
    <row r="1834" spans="1:14" ht="16.5" customHeight="1">
      <c r="A1834" s="3"/>
      <c r="B1834" s="3"/>
      <c r="C1834" s="3"/>
      <c r="D1834" s="3"/>
      <c r="E1834" s="3"/>
      <c r="F1834" s="3"/>
      <c r="G1834" s="3"/>
      <c r="H1834" s="3"/>
      <c r="I1834" s="3"/>
      <c r="J1834" s="3"/>
      <c r="K1834" s="3"/>
      <c r="L1834" s="3"/>
      <c r="M1834" s="3"/>
      <c r="N1834" s="3"/>
    </row>
    <row r="1835" spans="1:14" ht="16.5" customHeight="1">
      <c r="A1835" s="3"/>
      <c r="B1835" s="3"/>
      <c r="C1835" s="3"/>
      <c r="D1835" s="3"/>
      <c r="E1835" s="3"/>
      <c r="F1835" s="3"/>
      <c r="G1835" s="3"/>
      <c r="H1835" s="3"/>
      <c r="I1835" s="3"/>
      <c r="J1835" s="3"/>
      <c r="K1835" s="3"/>
      <c r="L1835" s="3"/>
      <c r="M1835" s="3"/>
      <c r="N1835" s="3"/>
    </row>
    <row r="1836" spans="1:14" ht="16.5" customHeight="1">
      <c r="A1836" s="3"/>
      <c r="B1836" s="3"/>
      <c r="C1836" s="3"/>
      <c r="D1836" s="3"/>
      <c r="E1836" s="3"/>
      <c r="F1836" s="3"/>
      <c r="G1836" s="3"/>
      <c r="H1836" s="3"/>
      <c r="I1836" s="3"/>
      <c r="J1836" s="3"/>
      <c r="K1836" s="3"/>
      <c r="L1836" s="3"/>
      <c r="M1836" s="3"/>
      <c r="N1836" s="3"/>
    </row>
    <row r="1837" spans="1:14" ht="16.5" customHeight="1">
      <c r="A1837" s="3"/>
      <c r="B1837" s="3"/>
      <c r="C1837" s="3"/>
      <c r="D1837" s="3"/>
      <c r="E1837" s="3"/>
      <c r="F1837" s="3"/>
      <c r="G1837" s="3"/>
      <c r="H1837" s="3"/>
      <c r="I1837" s="3"/>
      <c r="J1837" s="3"/>
      <c r="K1837" s="3"/>
      <c r="L1837" s="3"/>
      <c r="M1837" s="3"/>
      <c r="N1837" s="3"/>
    </row>
    <row r="1838" spans="1:14" ht="16.5" customHeight="1">
      <c r="A1838" s="3"/>
      <c r="B1838" s="3"/>
      <c r="C1838" s="3"/>
      <c r="D1838" s="3"/>
      <c r="E1838" s="3"/>
      <c r="F1838" s="3"/>
      <c r="G1838" s="3"/>
      <c r="H1838" s="3"/>
      <c r="I1838" s="3"/>
      <c r="J1838" s="3"/>
      <c r="K1838" s="3"/>
      <c r="L1838" s="3"/>
      <c r="M1838" s="3"/>
      <c r="N1838" s="3"/>
    </row>
    <row r="1839" spans="1:14" ht="16.5" customHeight="1">
      <c r="A1839" s="3"/>
      <c r="B1839" s="3"/>
      <c r="C1839" s="3"/>
      <c r="D1839" s="3"/>
      <c r="E1839" s="3"/>
      <c r="F1839" s="3"/>
      <c r="G1839" s="3"/>
      <c r="H1839" s="3"/>
      <c r="I1839" s="3"/>
      <c r="J1839" s="3"/>
      <c r="K1839" s="3"/>
      <c r="L1839" s="3"/>
      <c r="M1839" s="3"/>
      <c r="N1839" s="3"/>
    </row>
    <row r="1840" spans="1:14" ht="16.5" customHeight="1">
      <c r="A1840" s="3"/>
      <c r="B1840" s="3"/>
      <c r="C1840" s="3"/>
      <c r="D1840" s="3"/>
      <c r="E1840" s="3"/>
      <c r="F1840" s="3"/>
      <c r="G1840" s="3"/>
      <c r="H1840" s="3"/>
      <c r="I1840" s="3"/>
      <c r="J1840" s="3"/>
      <c r="K1840" s="3"/>
      <c r="L1840" s="3"/>
      <c r="M1840" s="3"/>
      <c r="N1840" s="3"/>
    </row>
    <row r="1841" spans="1:14" ht="16.5" customHeight="1">
      <c r="A1841" s="3"/>
      <c r="B1841" s="3"/>
      <c r="C1841" s="3"/>
      <c r="D1841" s="3"/>
      <c r="E1841" s="3"/>
      <c r="F1841" s="3"/>
      <c r="G1841" s="3"/>
      <c r="H1841" s="3"/>
      <c r="I1841" s="3"/>
      <c r="J1841" s="3"/>
      <c r="K1841" s="3"/>
      <c r="L1841" s="3"/>
      <c r="M1841" s="3"/>
      <c r="N1841" s="3"/>
    </row>
    <row r="1842" spans="1:14" ht="16.5" customHeight="1">
      <c r="A1842" s="3"/>
      <c r="B1842" s="3"/>
      <c r="C1842" s="3"/>
      <c r="D1842" s="3"/>
      <c r="E1842" s="3"/>
      <c r="F1842" s="3"/>
      <c r="G1842" s="3"/>
      <c r="H1842" s="3"/>
      <c r="I1842" s="3"/>
      <c r="J1842" s="3"/>
      <c r="K1842" s="3"/>
      <c r="L1842" s="3"/>
      <c r="M1842" s="3"/>
      <c r="N1842" s="3"/>
    </row>
    <row r="1843" spans="1:14" ht="16.5" customHeight="1">
      <c r="A1843" s="3"/>
      <c r="B1843" s="3"/>
      <c r="C1843" s="3"/>
      <c r="D1843" s="3"/>
      <c r="E1843" s="3"/>
      <c r="F1843" s="3"/>
      <c r="G1843" s="3"/>
      <c r="H1843" s="3"/>
      <c r="I1843" s="3"/>
      <c r="J1843" s="3"/>
      <c r="K1843" s="3"/>
      <c r="L1843" s="3"/>
      <c r="M1843" s="3"/>
      <c r="N1843" s="3"/>
    </row>
    <row r="1844" spans="1:14" ht="16.5" customHeight="1">
      <c r="A1844" s="3"/>
      <c r="B1844" s="3"/>
      <c r="C1844" s="3"/>
      <c r="D1844" s="3"/>
      <c r="E1844" s="3"/>
      <c r="F1844" s="3"/>
      <c r="G1844" s="3"/>
      <c r="H1844" s="3"/>
      <c r="I1844" s="3"/>
      <c r="J1844" s="3"/>
      <c r="K1844" s="3"/>
      <c r="L1844" s="3"/>
      <c r="M1844" s="3"/>
      <c r="N1844" s="3"/>
    </row>
    <row r="1845" spans="1:14" ht="16.5" customHeight="1">
      <c r="A1845" s="3"/>
      <c r="B1845" s="3"/>
      <c r="C1845" s="3"/>
      <c r="D1845" s="3"/>
      <c r="E1845" s="3"/>
      <c r="F1845" s="3"/>
      <c r="G1845" s="3"/>
      <c r="H1845" s="3"/>
      <c r="I1845" s="3"/>
      <c r="J1845" s="3"/>
      <c r="K1845" s="3"/>
      <c r="L1845" s="3"/>
      <c r="M1845" s="3"/>
      <c r="N1845" s="3"/>
    </row>
    <row r="1846" spans="1:14" ht="16.5" customHeight="1">
      <c r="A1846" s="3"/>
      <c r="B1846" s="3"/>
      <c r="C1846" s="3"/>
      <c r="D1846" s="3"/>
      <c r="E1846" s="3"/>
      <c r="F1846" s="3"/>
      <c r="G1846" s="3"/>
      <c r="H1846" s="3"/>
      <c r="I1846" s="3"/>
      <c r="J1846" s="3"/>
      <c r="K1846" s="3"/>
      <c r="L1846" s="3"/>
      <c r="M1846" s="3"/>
      <c r="N1846" s="3"/>
    </row>
    <row r="1847" spans="1:14" ht="16.5" customHeight="1">
      <c r="A1847" s="3"/>
      <c r="B1847" s="3"/>
      <c r="C1847" s="3"/>
      <c r="D1847" s="3"/>
      <c r="E1847" s="3"/>
      <c r="F1847" s="3"/>
      <c r="G1847" s="3"/>
      <c r="H1847" s="3"/>
      <c r="I1847" s="3"/>
      <c r="J1847" s="3"/>
      <c r="K1847" s="3"/>
      <c r="L1847" s="3"/>
      <c r="M1847" s="3"/>
      <c r="N1847" s="3"/>
    </row>
    <row r="1848" spans="1:14" ht="16.5" customHeight="1">
      <c r="A1848" s="3"/>
      <c r="B1848" s="3"/>
      <c r="C1848" s="3"/>
      <c r="D1848" s="3"/>
      <c r="E1848" s="3"/>
      <c r="F1848" s="3"/>
      <c r="G1848" s="3"/>
      <c r="H1848" s="3"/>
      <c r="I1848" s="3"/>
      <c r="J1848" s="3"/>
      <c r="K1848" s="3"/>
      <c r="L1848" s="3"/>
      <c r="M1848" s="3"/>
      <c r="N1848" s="3"/>
    </row>
    <row r="1849" spans="1:14" ht="16.5" customHeight="1">
      <c r="A1849" s="3"/>
      <c r="B1849" s="3"/>
      <c r="C1849" s="3"/>
      <c r="D1849" s="3"/>
      <c r="E1849" s="3"/>
      <c r="F1849" s="3"/>
      <c r="G1849" s="3"/>
      <c r="H1849" s="3"/>
      <c r="I1849" s="3"/>
      <c r="J1849" s="3"/>
      <c r="K1849" s="3"/>
      <c r="L1849" s="3"/>
      <c r="M1849" s="3"/>
      <c r="N1849" s="3"/>
    </row>
    <row r="1850" spans="1:14" ht="16.5" customHeight="1">
      <c r="A1850" s="3"/>
      <c r="B1850" s="3"/>
      <c r="C1850" s="3"/>
      <c r="D1850" s="3"/>
      <c r="E1850" s="3"/>
      <c r="F1850" s="3"/>
      <c r="G1850" s="3"/>
      <c r="H1850" s="3"/>
      <c r="I1850" s="3"/>
      <c r="J1850" s="3"/>
      <c r="K1850" s="3"/>
      <c r="L1850" s="3"/>
      <c r="M1850" s="3"/>
      <c r="N1850" s="3"/>
    </row>
    <row r="1851" spans="1:14" ht="16.5" customHeight="1">
      <c r="A1851" s="3"/>
      <c r="B1851" s="3"/>
      <c r="C1851" s="3"/>
      <c r="D1851" s="3"/>
      <c r="E1851" s="3"/>
      <c r="F1851" s="3"/>
      <c r="G1851" s="3"/>
      <c r="H1851" s="3"/>
      <c r="I1851" s="3"/>
      <c r="J1851" s="3"/>
      <c r="K1851" s="3"/>
      <c r="L1851" s="3"/>
      <c r="M1851" s="3"/>
      <c r="N1851" s="3"/>
    </row>
    <row r="1852" spans="1:14" ht="16.5" customHeight="1">
      <c r="A1852" s="3"/>
      <c r="B1852" s="3"/>
      <c r="C1852" s="3"/>
      <c r="D1852" s="3"/>
      <c r="E1852" s="3"/>
      <c r="F1852" s="3"/>
      <c r="G1852" s="3"/>
      <c r="H1852" s="3"/>
      <c r="I1852" s="3"/>
      <c r="J1852" s="3"/>
      <c r="K1852" s="3"/>
      <c r="L1852" s="3"/>
      <c r="M1852" s="3"/>
      <c r="N1852" s="3"/>
    </row>
    <row r="1853" spans="1:14" ht="16.5" customHeight="1">
      <c r="A1853" s="3"/>
      <c r="B1853" s="3"/>
      <c r="C1853" s="3"/>
      <c r="D1853" s="3"/>
      <c r="E1853" s="3"/>
      <c r="F1853" s="3"/>
      <c r="G1853" s="3"/>
      <c r="H1853" s="3"/>
      <c r="I1853" s="3"/>
      <c r="J1853" s="3"/>
      <c r="K1853" s="3"/>
      <c r="L1853" s="3"/>
      <c r="M1853" s="3"/>
      <c r="N1853" s="3"/>
    </row>
    <row r="1854" spans="1:14" ht="16.5" customHeight="1">
      <c r="A1854" s="3"/>
      <c r="B1854" s="3"/>
      <c r="C1854" s="3"/>
      <c r="D1854" s="3"/>
      <c r="E1854" s="3"/>
      <c r="F1854" s="3"/>
      <c r="G1854" s="3"/>
      <c r="H1854" s="3"/>
      <c r="I1854" s="3"/>
      <c r="J1854" s="3"/>
      <c r="K1854" s="3"/>
      <c r="L1854" s="3"/>
      <c r="M1854" s="3"/>
      <c r="N1854" s="3"/>
    </row>
    <row r="1855" spans="1:14" ht="16.5" customHeight="1">
      <c r="A1855" s="3"/>
      <c r="B1855" s="3"/>
      <c r="C1855" s="3"/>
      <c r="D1855" s="3"/>
      <c r="E1855" s="3"/>
      <c r="F1855" s="3"/>
      <c r="G1855" s="3"/>
      <c r="H1855" s="3"/>
      <c r="I1855" s="3"/>
      <c r="J1855" s="3"/>
      <c r="K1855" s="3"/>
      <c r="L1855" s="3"/>
      <c r="M1855" s="3"/>
      <c r="N1855" s="3"/>
    </row>
    <row r="1856" spans="1:14" ht="16.5" customHeight="1">
      <c r="A1856" s="3"/>
      <c r="B1856" s="3"/>
      <c r="C1856" s="3"/>
      <c r="D1856" s="3"/>
      <c r="E1856" s="3"/>
      <c r="F1856" s="3"/>
      <c r="G1856" s="3"/>
      <c r="H1856" s="3"/>
      <c r="I1856" s="3"/>
      <c r="J1856" s="3"/>
      <c r="K1856" s="3"/>
      <c r="L1856" s="3"/>
      <c r="M1856" s="3"/>
      <c r="N1856" s="3"/>
    </row>
    <row r="1857" spans="1:14" ht="16.5" customHeight="1">
      <c r="A1857" s="3"/>
      <c r="B1857" s="3"/>
      <c r="C1857" s="3"/>
      <c r="D1857" s="3"/>
      <c r="E1857" s="3"/>
      <c r="F1857" s="3"/>
      <c r="G1857" s="3"/>
      <c r="H1857" s="3"/>
      <c r="I1857" s="3"/>
      <c r="J1857" s="3"/>
      <c r="K1857" s="3"/>
      <c r="L1857" s="3"/>
      <c r="M1857" s="3"/>
      <c r="N1857" s="3"/>
    </row>
    <row r="1858" spans="1:14" ht="16.5" customHeight="1">
      <c r="A1858" s="3"/>
      <c r="B1858" s="3"/>
      <c r="C1858" s="3"/>
      <c r="D1858" s="3"/>
      <c r="E1858" s="3"/>
      <c r="F1858" s="3"/>
      <c r="G1858" s="3"/>
      <c r="H1858" s="3"/>
      <c r="I1858" s="3"/>
      <c r="J1858" s="3"/>
      <c r="K1858" s="3"/>
      <c r="L1858" s="3"/>
      <c r="M1858" s="3"/>
      <c r="N1858" s="3"/>
    </row>
    <row r="1859" spans="1:14" ht="16.5" customHeight="1">
      <c r="A1859" s="3"/>
      <c r="B1859" s="3"/>
      <c r="C1859" s="3"/>
      <c r="D1859" s="3"/>
      <c r="E1859" s="3"/>
      <c r="F1859" s="3"/>
      <c r="G1859" s="3"/>
      <c r="H1859" s="3"/>
      <c r="I1859" s="3"/>
      <c r="J1859" s="3"/>
      <c r="K1859" s="3"/>
      <c r="L1859" s="3"/>
      <c r="M1859" s="3"/>
      <c r="N1859" s="3"/>
    </row>
    <row r="1860" spans="1:14" ht="16.5" customHeight="1">
      <c r="A1860" s="3"/>
      <c r="B1860" s="3"/>
      <c r="C1860" s="3"/>
      <c r="D1860" s="3"/>
      <c r="E1860" s="3"/>
      <c r="F1860" s="3"/>
      <c r="G1860" s="3"/>
      <c r="H1860" s="3"/>
      <c r="I1860" s="3"/>
      <c r="J1860" s="3"/>
      <c r="K1860" s="3"/>
      <c r="L1860" s="3"/>
      <c r="M1860" s="3"/>
      <c r="N1860" s="3"/>
    </row>
    <row r="1861" spans="1:14" ht="16.5" customHeight="1">
      <c r="A1861" s="3"/>
      <c r="B1861" s="3"/>
      <c r="C1861" s="3"/>
      <c r="D1861" s="3"/>
      <c r="E1861" s="3"/>
      <c r="F1861" s="3"/>
      <c r="G1861" s="3"/>
      <c r="H1861" s="3"/>
      <c r="I1861" s="3"/>
      <c r="J1861" s="3"/>
      <c r="K1861" s="3"/>
      <c r="L1861" s="3"/>
      <c r="M1861" s="3"/>
      <c r="N1861" s="3"/>
    </row>
    <row r="1862" spans="1:14" ht="16.5" customHeight="1">
      <c r="A1862" s="3"/>
      <c r="B1862" s="3"/>
      <c r="C1862" s="3"/>
      <c r="D1862" s="3"/>
      <c r="E1862" s="3"/>
      <c r="F1862" s="3"/>
      <c r="G1862" s="3"/>
      <c r="H1862" s="3"/>
      <c r="I1862" s="3"/>
      <c r="J1862" s="3"/>
      <c r="K1862" s="3"/>
      <c r="L1862" s="3"/>
      <c r="M1862" s="3"/>
      <c r="N1862" s="3"/>
    </row>
    <row r="1863" spans="1:14" ht="16.5" customHeight="1">
      <c r="A1863" s="3"/>
      <c r="B1863" s="3"/>
      <c r="C1863" s="3"/>
      <c r="D1863" s="3"/>
      <c r="E1863" s="3"/>
      <c r="F1863" s="3"/>
      <c r="G1863" s="3"/>
      <c r="H1863" s="3"/>
      <c r="I1863" s="3"/>
      <c r="J1863" s="3"/>
      <c r="K1863" s="3"/>
      <c r="L1863" s="3"/>
      <c r="M1863" s="3"/>
      <c r="N1863" s="3"/>
    </row>
    <row r="1864" spans="1:14" ht="16.5" customHeight="1">
      <c r="A1864" s="3"/>
      <c r="B1864" s="3"/>
      <c r="C1864" s="3"/>
      <c r="D1864" s="3"/>
      <c r="E1864" s="3"/>
      <c r="F1864" s="3"/>
      <c r="G1864" s="3"/>
      <c r="H1864" s="3"/>
      <c r="I1864" s="3"/>
      <c r="J1864" s="3"/>
      <c r="K1864" s="3"/>
      <c r="L1864" s="3"/>
      <c r="M1864" s="3"/>
      <c r="N1864" s="3"/>
    </row>
    <row r="1865" spans="1:14" ht="16.5" customHeight="1">
      <c r="A1865" s="3"/>
      <c r="B1865" s="3"/>
      <c r="C1865" s="3"/>
      <c r="D1865" s="3"/>
      <c r="E1865" s="3"/>
      <c r="F1865" s="3"/>
      <c r="G1865" s="3"/>
      <c r="H1865" s="3"/>
      <c r="I1865" s="3"/>
      <c r="J1865" s="3"/>
      <c r="K1865" s="3"/>
      <c r="L1865" s="3"/>
      <c r="M1865" s="3"/>
      <c r="N1865" s="3"/>
    </row>
    <row r="1866" spans="1:14" ht="16.5" customHeight="1">
      <c r="A1866" s="3"/>
      <c r="B1866" s="3"/>
      <c r="C1866" s="3"/>
      <c r="D1866" s="3"/>
      <c r="E1866" s="3"/>
      <c r="F1866" s="3"/>
      <c r="G1866" s="3"/>
      <c r="H1866" s="3"/>
      <c r="I1866" s="3"/>
      <c r="J1866" s="3"/>
      <c r="K1866" s="3"/>
      <c r="L1866" s="3"/>
      <c r="M1866" s="3"/>
      <c r="N1866" s="3"/>
    </row>
    <row r="1867" spans="1:14" ht="16.5" customHeight="1">
      <c r="A1867" s="3"/>
      <c r="B1867" s="3"/>
      <c r="C1867" s="3"/>
      <c r="D1867" s="3"/>
      <c r="E1867" s="3"/>
      <c r="F1867" s="3"/>
      <c r="G1867" s="3"/>
      <c r="H1867" s="3"/>
      <c r="I1867" s="3"/>
      <c r="J1867" s="3"/>
      <c r="K1867" s="3"/>
      <c r="L1867" s="3"/>
      <c r="M1867" s="3"/>
      <c r="N1867" s="3"/>
    </row>
    <row r="1868" spans="1:14" ht="16.5" customHeight="1">
      <c r="A1868" s="3"/>
      <c r="B1868" s="3"/>
      <c r="C1868" s="3"/>
      <c r="D1868" s="3"/>
      <c r="E1868" s="3"/>
      <c r="F1868" s="3"/>
      <c r="G1868" s="3"/>
      <c r="H1868" s="3"/>
      <c r="I1868" s="3"/>
      <c r="J1868" s="3"/>
      <c r="K1868" s="3"/>
      <c r="L1868" s="3"/>
      <c r="M1868" s="3"/>
      <c r="N1868" s="3"/>
    </row>
    <row r="1869" spans="1:14" ht="16.5" customHeight="1">
      <c r="A1869" s="3"/>
      <c r="B1869" s="3"/>
      <c r="C1869" s="3"/>
      <c r="D1869" s="3"/>
      <c r="E1869" s="3"/>
      <c r="F1869" s="3"/>
      <c r="G1869" s="3"/>
      <c r="H1869" s="3"/>
      <c r="I1869" s="3"/>
      <c r="J1869" s="3"/>
      <c r="K1869" s="3"/>
      <c r="L1869" s="3"/>
      <c r="M1869" s="3"/>
      <c r="N1869" s="3"/>
    </row>
    <row r="1870" spans="1:14" ht="16.5" customHeight="1">
      <c r="A1870" s="3"/>
      <c r="B1870" s="3"/>
      <c r="C1870" s="3"/>
      <c r="D1870" s="3"/>
      <c r="E1870" s="3"/>
      <c r="F1870" s="3"/>
      <c r="G1870" s="3"/>
      <c r="H1870" s="3"/>
      <c r="I1870" s="3"/>
      <c r="J1870" s="3"/>
      <c r="K1870" s="3"/>
      <c r="L1870" s="3"/>
      <c r="M1870" s="3"/>
      <c r="N1870" s="3"/>
    </row>
    <row r="1871" spans="1:14" ht="16.5" customHeight="1">
      <c r="A1871" s="3"/>
      <c r="B1871" s="3"/>
      <c r="C1871" s="3"/>
      <c r="D1871" s="3"/>
      <c r="E1871" s="3"/>
      <c r="F1871" s="3"/>
      <c r="G1871" s="3"/>
      <c r="H1871" s="3"/>
      <c r="I1871" s="3"/>
      <c r="J1871" s="3"/>
      <c r="K1871" s="3"/>
      <c r="L1871" s="3"/>
      <c r="M1871" s="3"/>
      <c r="N1871" s="3"/>
    </row>
    <row r="1872" spans="1:14" ht="16.5" customHeight="1">
      <c r="A1872" s="3"/>
      <c r="B1872" s="3"/>
      <c r="C1872" s="3"/>
      <c r="D1872" s="3"/>
      <c r="E1872" s="3"/>
      <c r="F1872" s="3"/>
      <c r="G1872" s="3"/>
      <c r="H1872" s="3"/>
      <c r="I1872" s="3"/>
      <c r="J1872" s="3"/>
      <c r="K1872" s="3"/>
      <c r="L1872" s="3"/>
      <c r="M1872" s="3"/>
      <c r="N1872" s="3"/>
    </row>
    <row r="1873" spans="1:14" ht="16.5" customHeight="1">
      <c r="A1873" s="3"/>
      <c r="B1873" s="3"/>
      <c r="C1873" s="3"/>
      <c r="D1873" s="3"/>
      <c r="E1873" s="3"/>
      <c r="F1873" s="3"/>
      <c r="G1873" s="3"/>
      <c r="H1873" s="3"/>
      <c r="I1873" s="3"/>
      <c r="J1873" s="3"/>
      <c r="K1873" s="3"/>
      <c r="L1873" s="3"/>
      <c r="M1873" s="3"/>
      <c r="N1873" s="3"/>
    </row>
    <row r="1874" spans="1:14" ht="16.5" customHeight="1">
      <c r="A1874" s="3"/>
      <c r="B1874" s="3"/>
      <c r="C1874" s="3"/>
      <c r="D1874" s="3"/>
      <c r="E1874" s="3"/>
      <c r="F1874" s="3"/>
      <c r="G1874" s="3"/>
      <c r="H1874" s="3"/>
      <c r="I1874" s="3"/>
      <c r="J1874" s="3"/>
      <c r="K1874" s="3"/>
      <c r="L1874" s="3"/>
      <c r="M1874" s="3"/>
      <c r="N1874" s="3"/>
    </row>
    <row r="1875" spans="1:14" ht="16.5" customHeight="1">
      <c r="A1875" s="3"/>
      <c r="B1875" s="3"/>
      <c r="C1875" s="3"/>
      <c r="D1875" s="3"/>
      <c r="E1875" s="3"/>
      <c r="F1875" s="3"/>
      <c r="G1875" s="3"/>
      <c r="H1875" s="3"/>
      <c r="I1875" s="3"/>
      <c r="J1875" s="3"/>
      <c r="K1875" s="3"/>
      <c r="L1875" s="3"/>
      <c r="M1875" s="3"/>
      <c r="N1875" s="3"/>
    </row>
    <row r="1876" spans="1:14" ht="16.5" customHeight="1">
      <c r="A1876" s="3"/>
      <c r="B1876" s="3"/>
      <c r="C1876" s="3"/>
      <c r="D1876" s="3"/>
      <c r="E1876" s="3"/>
      <c r="F1876" s="3"/>
      <c r="G1876" s="3"/>
      <c r="H1876" s="3"/>
      <c r="I1876" s="3"/>
      <c r="J1876" s="3"/>
      <c r="K1876" s="3"/>
      <c r="L1876" s="3"/>
      <c r="M1876" s="3"/>
      <c r="N1876" s="3"/>
    </row>
    <row r="1877" spans="1:14" ht="16.5" customHeight="1">
      <c r="A1877" s="3"/>
      <c r="B1877" s="3"/>
      <c r="C1877" s="3"/>
      <c r="D1877" s="3"/>
      <c r="E1877" s="3"/>
      <c r="F1877" s="3"/>
      <c r="G1877" s="3"/>
      <c r="H1877" s="3"/>
      <c r="I1877" s="3"/>
      <c r="J1877" s="3"/>
      <c r="K1877" s="3"/>
      <c r="L1877" s="3"/>
      <c r="M1877" s="3"/>
      <c r="N1877" s="3"/>
    </row>
    <row r="1878" spans="1:14" ht="16.5" customHeight="1">
      <c r="A1878" s="3"/>
      <c r="B1878" s="3"/>
      <c r="C1878" s="3"/>
      <c r="D1878" s="3"/>
      <c r="E1878" s="3"/>
      <c r="F1878" s="3"/>
      <c r="G1878" s="3"/>
      <c r="H1878" s="3"/>
      <c r="I1878" s="3"/>
      <c r="J1878" s="3"/>
      <c r="K1878" s="3"/>
      <c r="L1878" s="3"/>
      <c r="M1878" s="3"/>
      <c r="N1878" s="3"/>
    </row>
    <row r="1879" spans="1:14" ht="16.5" customHeight="1">
      <c r="A1879" s="3"/>
      <c r="B1879" s="3"/>
      <c r="C1879" s="3"/>
      <c r="D1879" s="3"/>
      <c r="E1879" s="3"/>
      <c r="F1879" s="3"/>
      <c r="G1879" s="3"/>
      <c r="H1879" s="3"/>
      <c r="I1879" s="3"/>
      <c r="J1879" s="3"/>
      <c r="K1879" s="3"/>
      <c r="L1879" s="3"/>
      <c r="M1879" s="3"/>
      <c r="N1879" s="3"/>
    </row>
    <row r="1880" spans="1:14" ht="16.5" customHeight="1">
      <c r="A1880" s="3"/>
      <c r="B1880" s="3"/>
      <c r="C1880" s="3"/>
      <c r="D1880" s="3"/>
      <c r="E1880" s="3"/>
      <c r="F1880" s="3"/>
      <c r="G1880" s="3"/>
      <c r="H1880" s="3"/>
      <c r="I1880" s="3"/>
      <c r="J1880" s="3"/>
      <c r="K1880" s="3"/>
      <c r="L1880" s="3"/>
      <c r="M1880" s="3"/>
      <c r="N1880" s="3"/>
    </row>
    <row r="1881" spans="1:14" ht="16.5" customHeight="1">
      <c r="A1881" s="3"/>
      <c r="B1881" s="3"/>
      <c r="C1881" s="3"/>
      <c r="D1881" s="3"/>
      <c r="E1881" s="3"/>
      <c r="F1881" s="3"/>
      <c r="G1881" s="3"/>
      <c r="H1881" s="3"/>
      <c r="I1881" s="3"/>
      <c r="J1881" s="3"/>
      <c r="K1881" s="3"/>
      <c r="L1881" s="3"/>
      <c r="M1881" s="3"/>
      <c r="N1881" s="3"/>
    </row>
    <row r="1882" spans="1:14" ht="16.5" customHeight="1">
      <c r="A1882" s="3"/>
      <c r="B1882" s="3"/>
      <c r="C1882" s="3"/>
      <c r="D1882" s="3"/>
      <c r="E1882" s="3"/>
      <c r="F1882" s="3"/>
      <c r="G1882" s="3"/>
      <c r="H1882" s="3"/>
      <c r="I1882" s="3"/>
      <c r="J1882" s="3"/>
      <c r="K1882" s="3"/>
      <c r="L1882" s="3"/>
      <c r="M1882" s="3"/>
      <c r="N1882" s="3"/>
    </row>
    <row r="1883" spans="1:14" ht="16.5" customHeight="1">
      <c r="A1883" s="3"/>
      <c r="B1883" s="3"/>
      <c r="C1883" s="3"/>
      <c r="D1883" s="3"/>
      <c r="E1883" s="3"/>
      <c r="F1883" s="3"/>
      <c r="G1883" s="3"/>
      <c r="H1883" s="3"/>
      <c r="I1883" s="3"/>
      <c r="J1883" s="3"/>
      <c r="K1883" s="3"/>
      <c r="L1883" s="3"/>
      <c r="M1883" s="3"/>
      <c r="N1883" s="3"/>
    </row>
    <row r="1884" spans="1:14" ht="16.5" customHeight="1">
      <c r="A1884" s="3"/>
      <c r="B1884" s="3"/>
      <c r="C1884" s="3"/>
      <c r="D1884" s="3"/>
      <c r="E1884" s="3"/>
      <c r="F1884" s="3"/>
      <c r="G1884" s="3"/>
      <c r="H1884" s="3"/>
      <c r="I1884" s="3"/>
      <c r="J1884" s="3"/>
      <c r="K1884" s="3"/>
      <c r="L1884" s="3"/>
      <c r="M1884" s="3"/>
      <c r="N1884" s="3"/>
    </row>
    <row r="1885" spans="1:14" ht="16.5" customHeight="1">
      <c r="A1885" s="3"/>
      <c r="B1885" s="3"/>
      <c r="C1885" s="3"/>
      <c r="D1885" s="3"/>
      <c r="E1885" s="3"/>
      <c r="F1885" s="3"/>
      <c r="G1885" s="3"/>
      <c r="H1885" s="3"/>
      <c r="I1885" s="3"/>
      <c r="J1885" s="3"/>
      <c r="K1885" s="3"/>
      <c r="L1885" s="3"/>
      <c r="M1885" s="3"/>
      <c r="N1885" s="3"/>
    </row>
    <row r="1886" spans="1:14" ht="16.5" customHeight="1">
      <c r="A1886" s="3"/>
      <c r="B1886" s="3"/>
      <c r="C1886" s="3"/>
      <c r="D1886" s="3"/>
      <c r="E1886" s="3"/>
      <c r="F1886" s="3"/>
      <c r="G1886" s="3"/>
      <c r="H1886" s="3"/>
      <c r="I1886" s="3"/>
      <c r="J1886" s="3"/>
      <c r="K1886" s="3"/>
      <c r="L1886" s="3"/>
      <c r="M1886" s="3"/>
      <c r="N1886" s="3"/>
    </row>
    <row r="1887" spans="1:14" ht="16.5" customHeight="1">
      <c r="A1887" s="3"/>
      <c r="B1887" s="3"/>
      <c r="C1887" s="3"/>
      <c r="D1887" s="3"/>
      <c r="E1887" s="3"/>
      <c r="F1887" s="3"/>
      <c r="G1887" s="3"/>
      <c r="H1887" s="3"/>
      <c r="I1887" s="3"/>
      <c r="J1887" s="3"/>
      <c r="K1887" s="3"/>
      <c r="L1887" s="3"/>
      <c r="M1887" s="3"/>
      <c r="N1887" s="3"/>
    </row>
    <row r="1888" spans="1:14" ht="16.5" customHeight="1">
      <c r="A1888" s="3"/>
      <c r="B1888" s="3"/>
      <c r="C1888" s="3"/>
      <c r="D1888" s="3"/>
      <c r="E1888" s="3"/>
      <c r="F1888" s="3"/>
      <c r="G1888" s="3"/>
      <c r="H1888" s="3"/>
      <c r="I1888" s="3"/>
      <c r="J1888" s="3"/>
      <c r="K1888" s="3"/>
      <c r="L1888" s="3"/>
      <c r="M1888" s="3"/>
      <c r="N1888" s="3"/>
    </row>
    <row r="1889" spans="1:14" ht="16.5" customHeight="1">
      <c r="A1889" s="3"/>
      <c r="B1889" s="3"/>
      <c r="C1889" s="3"/>
      <c r="D1889" s="3"/>
      <c r="E1889" s="3"/>
      <c r="F1889" s="3"/>
      <c r="G1889" s="3"/>
      <c r="H1889" s="3"/>
      <c r="I1889" s="3"/>
      <c r="J1889" s="3"/>
      <c r="K1889" s="3"/>
      <c r="L1889" s="3"/>
      <c r="M1889" s="3"/>
      <c r="N1889" s="3"/>
    </row>
    <row r="1890" spans="1:14" ht="16.5" customHeight="1">
      <c r="A1890" s="3"/>
      <c r="B1890" s="3"/>
      <c r="C1890" s="3"/>
      <c r="D1890" s="3"/>
      <c r="E1890" s="3"/>
      <c r="F1890" s="3"/>
      <c r="G1890" s="3"/>
      <c r="H1890" s="3"/>
      <c r="I1890" s="3"/>
      <c r="J1890" s="3"/>
      <c r="K1890" s="3"/>
      <c r="L1890" s="3"/>
      <c r="M1890" s="3"/>
      <c r="N1890" s="3"/>
    </row>
    <row r="1891" spans="1:14" ht="16.5" customHeight="1">
      <c r="A1891" s="3"/>
      <c r="B1891" s="3"/>
      <c r="C1891" s="3"/>
      <c r="D1891" s="3"/>
      <c r="E1891" s="3"/>
      <c r="F1891" s="3"/>
      <c r="G1891" s="3"/>
      <c r="H1891" s="3"/>
      <c r="I1891" s="3"/>
      <c r="J1891" s="3"/>
      <c r="K1891" s="3"/>
      <c r="L1891" s="3"/>
      <c r="M1891" s="3"/>
      <c r="N1891" s="3"/>
    </row>
    <row r="1892" spans="1:14" ht="16.5" customHeight="1">
      <c r="A1892" s="3"/>
      <c r="B1892" s="3"/>
      <c r="C1892" s="3"/>
      <c r="D1892" s="3"/>
      <c r="E1892" s="3"/>
      <c r="F1892" s="3"/>
      <c r="G1892" s="3"/>
      <c r="H1892" s="3"/>
      <c r="I1892" s="3"/>
      <c r="J1892" s="3"/>
      <c r="K1892" s="3"/>
      <c r="L1892" s="3"/>
      <c r="M1892" s="3"/>
      <c r="N1892" s="3"/>
    </row>
    <row r="1893" spans="1:14" ht="16.5" customHeight="1">
      <c r="A1893" s="3"/>
      <c r="B1893" s="3"/>
      <c r="C1893" s="3"/>
      <c r="D1893" s="3"/>
      <c r="E1893" s="3"/>
      <c r="F1893" s="3"/>
      <c r="G1893" s="3"/>
      <c r="H1893" s="3"/>
      <c r="I1893" s="3"/>
      <c r="J1893" s="3"/>
      <c r="K1893" s="3"/>
      <c r="L1893" s="3"/>
      <c r="M1893" s="3"/>
      <c r="N1893" s="3"/>
    </row>
    <row r="1894" spans="1:14" ht="16.5" customHeight="1">
      <c r="A1894" s="3"/>
      <c r="B1894" s="3"/>
      <c r="C1894" s="3"/>
      <c r="D1894" s="3"/>
      <c r="E1894" s="3"/>
      <c r="F1894" s="3"/>
      <c r="G1894" s="3"/>
      <c r="H1894" s="3"/>
      <c r="I1894" s="3"/>
      <c r="J1894" s="3"/>
      <c r="K1894" s="3"/>
      <c r="L1894" s="3"/>
      <c r="M1894" s="3"/>
      <c r="N1894" s="3"/>
    </row>
    <row r="1895" spans="1:14" ht="16.5" customHeight="1">
      <c r="A1895" s="3"/>
      <c r="B1895" s="3"/>
      <c r="C1895" s="3"/>
      <c r="D1895" s="3"/>
      <c r="E1895" s="3"/>
      <c r="F1895" s="3"/>
      <c r="G1895" s="3"/>
      <c r="H1895" s="3"/>
      <c r="I1895" s="3"/>
      <c r="J1895" s="3"/>
      <c r="K1895" s="3"/>
      <c r="L1895" s="3"/>
      <c r="M1895" s="3"/>
      <c r="N1895" s="3"/>
    </row>
    <row r="1896" spans="1:14" ht="16.5" customHeight="1">
      <c r="A1896" s="3"/>
      <c r="B1896" s="3"/>
      <c r="C1896" s="3"/>
      <c r="D1896" s="3"/>
      <c r="E1896" s="3"/>
      <c r="F1896" s="3"/>
      <c r="G1896" s="3"/>
      <c r="H1896" s="3"/>
      <c r="I1896" s="3"/>
      <c r="J1896" s="3"/>
      <c r="K1896" s="3"/>
      <c r="L1896" s="3"/>
      <c r="M1896" s="3"/>
      <c r="N1896" s="3"/>
    </row>
    <row r="1897" spans="1:14" ht="16.5" customHeight="1">
      <c r="A1897" s="3"/>
      <c r="B1897" s="3"/>
      <c r="C1897" s="3"/>
      <c r="D1897" s="3"/>
      <c r="E1897" s="3"/>
      <c r="F1897" s="3"/>
      <c r="G1897" s="3"/>
      <c r="H1897" s="3"/>
      <c r="I1897" s="3"/>
      <c r="J1897" s="3"/>
      <c r="K1897" s="3"/>
      <c r="L1897" s="3"/>
      <c r="M1897" s="3"/>
      <c r="N1897" s="3"/>
    </row>
    <row r="1898" spans="1:14" ht="16.5" customHeight="1">
      <c r="A1898" s="3"/>
      <c r="B1898" s="3"/>
      <c r="C1898" s="3"/>
      <c r="D1898" s="3"/>
      <c r="E1898" s="3"/>
      <c r="F1898" s="3"/>
      <c r="G1898" s="3"/>
      <c r="H1898" s="3"/>
      <c r="I1898" s="3"/>
      <c r="J1898" s="3"/>
      <c r="K1898" s="3"/>
      <c r="L1898" s="3"/>
      <c r="M1898" s="3"/>
      <c r="N1898" s="3"/>
    </row>
    <row r="1899" spans="1:14" ht="16.5" customHeight="1">
      <c r="A1899" s="3"/>
      <c r="B1899" s="3"/>
      <c r="C1899" s="3"/>
      <c r="D1899" s="3"/>
      <c r="E1899" s="3"/>
      <c r="F1899" s="3"/>
      <c r="G1899" s="3"/>
      <c r="H1899" s="3"/>
      <c r="I1899" s="3"/>
      <c r="J1899" s="3"/>
      <c r="K1899" s="3"/>
      <c r="L1899" s="3"/>
      <c r="M1899" s="3"/>
      <c r="N1899" s="3"/>
    </row>
    <row r="1900" spans="1:14" ht="16.5" customHeight="1">
      <c r="A1900" s="3"/>
      <c r="B1900" s="3"/>
      <c r="C1900" s="3"/>
      <c r="D1900" s="3"/>
      <c r="E1900" s="3"/>
      <c r="F1900" s="3"/>
      <c r="G1900" s="3"/>
      <c r="H1900" s="3"/>
      <c r="I1900" s="3"/>
      <c r="J1900" s="3"/>
      <c r="K1900" s="3"/>
      <c r="L1900" s="3"/>
      <c r="M1900" s="3"/>
      <c r="N1900" s="3"/>
    </row>
    <row r="1901" spans="1:14" ht="16.5" customHeight="1">
      <c r="A1901" s="3"/>
      <c r="B1901" s="3"/>
      <c r="C1901" s="3"/>
      <c r="D1901" s="3"/>
      <c r="E1901" s="3"/>
      <c r="F1901" s="3"/>
      <c r="G1901" s="3"/>
      <c r="H1901" s="3"/>
      <c r="I1901" s="3"/>
      <c r="J1901" s="3"/>
      <c r="K1901" s="3"/>
      <c r="L1901" s="3"/>
      <c r="M1901" s="3"/>
      <c r="N1901" s="3"/>
    </row>
    <row r="1902" spans="1:14" ht="16.5" customHeight="1">
      <c r="A1902" s="3"/>
      <c r="B1902" s="3"/>
      <c r="C1902" s="3"/>
      <c r="D1902" s="3"/>
      <c r="E1902" s="3"/>
      <c r="F1902" s="3"/>
      <c r="G1902" s="3"/>
      <c r="H1902" s="3"/>
      <c r="I1902" s="3"/>
      <c r="J1902" s="3"/>
      <c r="K1902" s="3"/>
      <c r="L1902" s="3"/>
      <c r="M1902" s="3"/>
      <c r="N1902" s="3"/>
    </row>
    <row r="1903" spans="1:14" ht="16.5" customHeight="1">
      <c r="A1903" s="3"/>
      <c r="B1903" s="3"/>
      <c r="C1903" s="3"/>
      <c r="D1903" s="3"/>
      <c r="E1903" s="3"/>
      <c r="F1903" s="3"/>
      <c r="G1903" s="3"/>
      <c r="H1903" s="3"/>
      <c r="I1903" s="3"/>
      <c r="J1903" s="3"/>
      <c r="K1903" s="3"/>
      <c r="L1903" s="3"/>
      <c r="M1903" s="3"/>
      <c r="N1903" s="3"/>
    </row>
    <row r="1904" spans="1:14" ht="16.5" customHeight="1">
      <c r="A1904" s="3"/>
      <c r="B1904" s="3"/>
      <c r="C1904" s="3"/>
      <c r="D1904" s="3"/>
      <c r="E1904" s="3"/>
      <c r="F1904" s="3"/>
      <c r="G1904" s="3"/>
      <c r="H1904" s="3"/>
      <c r="I1904" s="3"/>
      <c r="J1904" s="3"/>
      <c r="K1904" s="3"/>
      <c r="L1904" s="3"/>
      <c r="M1904" s="3"/>
      <c r="N1904" s="3"/>
    </row>
    <row r="1905" spans="1:14" ht="16.5" customHeight="1">
      <c r="A1905" s="3"/>
      <c r="B1905" s="3"/>
      <c r="C1905" s="3"/>
      <c r="D1905" s="3"/>
      <c r="E1905" s="3"/>
      <c r="F1905" s="3"/>
      <c r="G1905" s="3"/>
      <c r="H1905" s="3"/>
      <c r="I1905" s="3"/>
      <c r="J1905" s="3"/>
      <c r="K1905" s="3"/>
      <c r="L1905" s="3"/>
      <c r="M1905" s="3"/>
      <c r="N1905" s="3"/>
    </row>
    <row r="1906" spans="1:14" ht="16.5" customHeight="1">
      <c r="A1906" s="3"/>
      <c r="B1906" s="3"/>
      <c r="C1906" s="3"/>
      <c r="D1906" s="3"/>
      <c r="E1906" s="3"/>
      <c r="F1906" s="3"/>
      <c r="G1906" s="3"/>
      <c r="H1906" s="3"/>
      <c r="I1906" s="3"/>
      <c r="J1906" s="3"/>
      <c r="K1906" s="3"/>
      <c r="L1906" s="3"/>
      <c r="M1906" s="3"/>
      <c r="N1906" s="3"/>
    </row>
    <row r="1907" spans="1:14" ht="16.5" customHeight="1">
      <c r="A1907" s="3"/>
      <c r="B1907" s="3"/>
      <c r="C1907" s="3"/>
      <c r="D1907" s="3"/>
      <c r="E1907" s="3"/>
      <c r="F1907" s="3"/>
      <c r="G1907" s="3"/>
      <c r="H1907" s="3"/>
      <c r="I1907" s="3"/>
      <c r="J1907" s="3"/>
      <c r="K1907" s="3"/>
      <c r="L1907" s="3"/>
      <c r="M1907" s="3"/>
      <c r="N1907" s="3"/>
    </row>
    <row r="1908" spans="1:14" ht="16.5" customHeight="1">
      <c r="A1908" s="3"/>
      <c r="B1908" s="3"/>
      <c r="C1908" s="3"/>
      <c r="D1908" s="3"/>
      <c r="E1908" s="3"/>
      <c r="F1908" s="3"/>
      <c r="G1908" s="3"/>
      <c r="H1908" s="3"/>
      <c r="I1908" s="3"/>
      <c r="J1908" s="3"/>
      <c r="K1908" s="3"/>
      <c r="L1908" s="3"/>
      <c r="M1908" s="3"/>
      <c r="N1908" s="3"/>
    </row>
    <row r="1909" spans="1:14" ht="16.5" customHeight="1">
      <c r="A1909" s="3"/>
      <c r="B1909" s="3"/>
      <c r="C1909" s="3"/>
      <c r="D1909" s="3"/>
      <c r="E1909" s="3"/>
      <c r="F1909" s="3"/>
      <c r="G1909" s="3"/>
      <c r="H1909" s="3"/>
      <c r="I1909" s="3"/>
      <c r="J1909" s="3"/>
      <c r="K1909" s="3"/>
      <c r="L1909" s="3"/>
      <c r="M1909" s="3"/>
      <c r="N1909" s="3"/>
    </row>
    <row r="1910" spans="1:14" ht="16.5" customHeight="1">
      <c r="A1910" s="3"/>
      <c r="B1910" s="3"/>
      <c r="C1910" s="3"/>
      <c r="D1910" s="3"/>
      <c r="E1910" s="3"/>
      <c r="F1910" s="3"/>
      <c r="G1910" s="3"/>
      <c r="H1910" s="3"/>
      <c r="I1910" s="3"/>
      <c r="J1910" s="3"/>
      <c r="K1910" s="3"/>
      <c r="L1910" s="3"/>
      <c r="M1910" s="3"/>
      <c r="N1910" s="3"/>
    </row>
    <row r="1911" spans="1:14" ht="16.5" customHeight="1">
      <c r="A1911" s="3"/>
      <c r="B1911" s="3"/>
      <c r="C1911" s="3"/>
      <c r="D1911" s="3"/>
      <c r="E1911" s="3"/>
      <c r="F1911" s="3"/>
      <c r="G1911" s="3"/>
      <c r="H1911" s="3"/>
      <c r="I1911" s="3"/>
      <c r="J1911" s="3"/>
      <c r="K1911" s="3"/>
      <c r="L1911" s="3"/>
      <c r="M1911" s="3"/>
      <c r="N1911" s="3"/>
    </row>
    <row r="1912" spans="1:14" ht="16.5" customHeight="1">
      <c r="A1912" s="3"/>
      <c r="B1912" s="3"/>
      <c r="C1912" s="3"/>
      <c r="D1912" s="3"/>
      <c r="E1912" s="3"/>
      <c r="F1912" s="3"/>
      <c r="G1912" s="3"/>
      <c r="H1912" s="3"/>
      <c r="I1912" s="3"/>
      <c r="J1912" s="3"/>
      <c r="K1912" s="3"/>
      <c r="L1912" s="3"/>
      <c r="M1912" s="3"/>
      <c r="N1912" s="3"/>
    </row>
    <row r="1913" spans="1:14" ht="16.5" customHeight="1">
      <c r="A1913" s="3"/>
      <c r="B1913" s="3"/>
      <c r="C1913" s="3"/>
      <c r="D1913" s="3"/>
      <c r="E1913" s="3"/>
      <c r="F1913" s="3"/>
      <c r="G1913" s="3"/>
      <c r="H1913" s="3"/>
      <c r="I1913" s="3"/>
      <c r="J1913" s="3"/>
      <c r="K1913" s="3"/>
      <c r="L1913" s="3"/>
      <c r="M1913" s="3"/>
      <c r="N1913" s="3"/>
    </row>
    <row r="1914" spans="1:14" ht="16.5" customHeight="1">
      <c r="A1914" s="3"/>
      <c r="B1914" s="3"/>
      <c r="C1914" s="3"/>
      <c r="D1914" s="3"/>
      <c r="E1914" s="3"/>
      <c r="F1914" s="3"/>
      <c r="G1914" s="3"/>
      <c r="H1914" s="3"/>
      <c r="I1914" s="3"/>
      <c r="J1914" s="3"/>
      <c r="K1914" s="3"/>
      <c r="L1914" s="3"/>
      <c r="M1914" s="3"/>
      <c r="N1914" s="3"/>
    </row>
    <row r="1915" spans="1:14" ht="16.5" customHeight="1">
      <c r="A1915" s="3"/>
      <c r="B1915" s="3"/>
      <c r="C1915" s="3"/>
      <c r="D1915" s="3"/>
      <c r="E1915" s="3"/>
      <c r="F1915" s="3"/>
      <c r="G1915" s="3"/>
      <c r="H1915" s="3"/>
      <c r="I1915" s="3"/>
      <c r="J1915" s="3"/>
      <c r="K1915" s="3"/>
      <c r="L1915" s="3"/>
      <c r="M1915" s="3"/>
      <c r="N1915" s="3"/>
    </row>
    <row r="1916" spans="1:14" ht="16.5" customHeight="1">
      <c r="A1916" s="3"/>
      <c r="B1916" s="3"/>
      <c r="C1916" s="3"/>
      <c r="D1916" s="3"/>
      <c r="E1916" s="3"/>
      <c r="F1916" s="3"/>
      <c r="G1916" s="3"/>
      <c r="H1916" s="3"/>
      <c r="I1916" s="3"/>
      <c r="J1916" s="3"/>
      <c r="K1916" s="3"/>
      <c r="L1916" s="3"/>
      <c r="M1916" s="3"/>
      <c r="N1916" s="3"/>
    </row>
    <row r="1917" spans="1:14" ht="16.5" customHeight="1">
      <c r="A1917" s="3"/>
      <c r="B1917" s="3"/>
      <c r="C1917" s="3"/>
      <c r="D1917" s="3"/>
      <c r="E1917" s="3"/>
      <c r="F1917" s="3"/>
      <c r="G1917" s="3"/>
      <c r="H1917" s="3"/>
      <c r="I1917" s="3"/>
      <c r="J1917" s="3"/>
      <c r="K1917" s="3"/>
      <c r="L1917" s="3"/>
      <c r="M1917" s="3"/>
      <c r="N1917" s="3"/>
    </row>
    <row r="1918" spans="1:14" ht="16.5" customHeight="1">
      <c r="A1918" s="3"/>
      <c r="B1918" s="3"/>
      <c r="C1918" s="3"/>
      <c r="D1918" s="3"/>
      <c r="E1918" s="3"/>
      <c r="F1918" s="3"/>
      <c r="G1918" s="3"/>
      <c r="H1918" s="3"/>
      <c r="I1918" s="3"/>
      <c r="J1918" s="3"/>
      <c r="K1918" s="3"/>
      <c r="L1918" s="3"/>
      <c r="M1918" s="3"/>
      <c r="N1918" s="3"/>
    </row>
    <row r="1919" spans="1:14" ht="16.5" customHeight="1">
      <c r="A1919" s="3"/>
      <c r="B1919" s="3"/>
      <c r="C1919" s="3"/>
      <c r="D1919" s="3"/>
      <c r="E1919" s="3"/>
      <c r="F1919" s="3"/>
      <c r="G1919" s="3"/>
      <c r="H1919" s="3"/>
      <c r="I1919" s="3"/>
      <c r="J1919" s="3"/>
      <c r="K1919" s="3"/>
      <c r="L1919" s="3"/>
      <c r="M1919" s="3"/>
      <c r="N1919" s="3"/>
    </row>
    <row r="1920" spans="1:14" ht="16.5" customHeight="1">
      <c r="A1920" s="3"/>
      <c r="B1920" s="3"/>
      <c r="C1920" s="3"/>
      <c r="D1920" s="3"/>
      <c r="E1920" s="3"/>
      <c r="F1920" s="3"/>
      <c r="G1920" s="3"/>
      <c r="H1920" s="3"/>
      <c r="I1920" s="3"/>
      <c r="J1920" s="3"/>
      <c r="K1920" s="3"/>
      <c r="L1920" s="3"/>
      <c r="M1920" s="3"/>
      <c r="N1920" s="3"/>
    </row>
    <row r="1921" spans="1:14" ht="16.5" customHeight="1">
      <c r="A1921" s="3"/>
      <c r="B1921" s="3"/>
      <c r="C1921" s="3"/>
      <c r="D1921" s="3"/>
      <c r="E1921" s="3"/>
      <c r="F1921" s="3"/>
      <c r="G1921" s="3"/>
      <c r="H1921" s="3"/>
      <c r="I1921" s="3"/>
      <c r="J1921" s="3"/>
      <c r="K1921" s="3"/>
      <c r="L1921" s="3"/>
      <c r="M1921" s="3"/>
      <c r="N1921" s="3"/>
    </row>
    <row r="1922" spans="1:14" ht="16.5" customHeight="1">
      <c r="A1922" s="3"/>
      <c r="B1922" s="3"/>
      <c r="C1922" s="3"/>
      <c r="D1922" s="3"/>
      <c r="E1922" s="3"/>
      <c r="F1922" s="3"/>
      <c r="G1922" s="3"/>
      <c r="H1922" s="3"/>
      <c r="I1922" s="3"/>
      <c r="J1922" s="3"/>
      <c r="K1922" s="3"/>
      <c r="L1922" s="3"/>
      <c r="M1922" s="3"/>
      <c r="N1922" s="3"/>
    </row>
    <row r="1923" spans="1:14" ht="16.5" customHeight="1">
      <c r="A1923" s="3"/>
      <c r="B1923" s="3"/>
      <c r="C1923" s="3"/>
      <c r="D1923" s="3"/>
      <c r="E1923" s="3"/>
      <c r="F1923" s="3"/>
      <c r="G1923" s="3"/>
      <c r="H1923" s="3"/>
      <c r="I1923" s="3"/>
      <c r="J1923" s="3"/>
      <c r="K1923" s="3"/>
      <c r="L1923" s="3"/>
      <c r="M1923" s="3"/>
      <c r="N1923" s="3"/>
    </row>
    <row r="1924" spans="1:14" ht="16.5" customHeight="1">
      <c r="A1924" s="3"/>
      <c r="B1924" s="3"/>
      <c r="C1924" s="3"/>
      <c r="D1924" s="3"/>
      <c r="E1924" s="3"/>
      <c r="F1924" s="3"/>
      <c r="G1924" s="3"/>
      <c r="H1924" s="3"/>
      <c r="I1924" s="3"/>
      <c r="J1924" s="3"/>
      <c r="K1924" s="3"/>
      <c r="L1924" s="3"/>
      <c r="M1924" s="3"/>
      <c r="N1924" s="3"/>
    </row>
    <row r="1925" spans="1:14" ht="16.5" customHeight="1">
      <c r="A1925" s="3"/>
      <c r="B1925" s="3"/>
      <c r="C1925" s="3"/>
      <c r="D1925" s="3"/>
      <c r="E1925" s="3"/>
      <c r="F1925" s="3"/>
      <c r="G1925" s="3"/>
      <c r="H1925" s="3"/>
      <c r="I1925" s="3"/>
      <c r="J1925" s="3"/>
      <c r="K1925" s="3"/>
      <c r="L1925" s="3"/>
      <c r="M1925" s="3"/>
      <c r="N1925" s="3"/>
    </row>
    <row r="1926" spans="1:14" ht="16.5" customHeight="1">
      <c r="A1926" s="3"/>
      <c r="B1926" s="3"/>
      <c r="C1926" s="3"/>
      <c r="D1926" s="3"/>
      <c r="E1926" s="3"/>
      <c r="F1926" s="3"/>
      <c r="G1926" s="3"/>
      <c r="H1926" s="3"/>
      <c r="I1926" s="3"/>
      <c r="J1926" s="3"/>
      <c r="K1926" s="3"/>
      <c r="L1926" s="3"/>
      <c r="M1926" s="3"/>
      <c r="N1926" s="3"/>
    </row>
    <row r="1927" spans="1:14" ht="16.5" customHeight="1">
      <c r="A1927" s="3"/>
      <c r="B1927" s="3"/>
      <c r="C1927" s="3"/>
      <c r="D1927" s="3"/>
      <c r="E1927" s="3"/>
      <c r="F1927" s="3"/>
      <c r="G1927" s="3"/>
      <c r="H1927" s="3"/>
      <c r="I1927" s="3"/>
      <c r="J1927" s="3"/>
      <c r="K1927" s="3"/>
      <c r="L1927" s="3"/>
      <c r="M1927" s="3"/>
      <c r="N1927" s="3"/>
    </row>
    <row r="1928" spans="1:14" ht="16.5" customHeight="1">
      <c r="A1928" s="3"/>
      <c r="B1928" s="3"/>
      <c r="C1928" s="3"/>
      <c r="D1928" s="3"/>
      <c r="E1928" s="3"/>
      <c r="F1928" s="3"/>
      <c r="G1928" s="3"/>
      <c r="H1928" s="3"/>
      <c r="I1928" s="3"/>
      <c r="J1928" s="3"/>
      <c r="K1928" s="3"/>
      <c r="L1928" s="3"/>
      <c r="M1928" s="3"/>
      <c r="N1928" s="3"/>
    </row>
    <row r="1929" spans="1:14" ht="16.5" customHeight="1">
      <c r="A1929" s="3"/>
      <c r="B1929" s="3"/>
      <c r="C1929" s="3"/>
      <c r="D1929" s="3"/>
      <c r="E1929" s="3"/>
      <c r="F1929" s="3"/>
      <c r="G1929" s="3"/>
      <c r="H1929" s="3"/>
      <c r="I1929" s="3"/>
      <c r="J1929" s="3"/>
      <c r="K1929" s="3"/>
      <c r="L1929" s="3"/>
      <c r="M1929" s="3"/>
      <c r="N1929" s="3"/>
    </row>
    <row r="1930" spans="1:14" ht="16.5" customHeight="1">
      <c r="A1930" s="3"/>
      <c r="B1930" s="3"/>
      <c r="C1930" s="3"/>
      <c r="D1930" s="3"/>
      <c r="E1930" s="3"/>
      <c r="F1930" s="3"/>
      <c r="G1930" s="3"/>
      <c r="H1930" s="3"/>
      <c r="I1930" s="3"/>
      <c r="J1930" s="3"/>
      <c r="K1930" s="3"/>
      <c r="L1930" s="3"/>
      <c r="M1930" s="3"/>
      <c r="N1930" s="3"/>
    </row>
    <row r="1931" spans="1:14" ht="16.5" customHeight="1">
      <c r="A1931" s="3"/>
      <c r="B1931" s="3"/>
      <c r="C1931" s="3"/>
      <c r="D1931" s="3"/>
      <c r="E1931" s="3"/>
      <c r="F1931" s="3"/>
      <c r="G1931" s="3"/>
      <c r="H1931" s="3"/>
      <c r="I1931" s="3"/>
      <c r="J1931" s="3"/>
      <c r="K1931" s="3"/>
      <c r="L1931" s="3"/>
      <c r="M1931" s="3"/>
      <c r="N1931" s="3"/>
    </row>
    <row r="1932" spans="1:14" ht="16.5" customHeight="1">
      <c r="A1932" s="3"/>
      <c r="B1932" s="3"/>
      <c r="C1932" s="3"/>
      <c r="D1932" s="3"/>
      <c r="E1932" s="3"/>
      <c r="F1932" s="3"/>
      <c r="G1932" s="3"/>
      <c r="H1932" s="3"/>
      <c r="I1932" s="3"/>
      <c r="J1932" s="3"/>
      <c r="K1932" s="3"/>
      <c r="L1932" s="3"/>
      <c r="M1932" s="3"/>
      <c r="N1932" s="3"/>
    </row>
    <row r="1933" spans="1:14" ht="16.5" customHeight="1">
      <c r="A1933" s="3"/>
      <c r="B1933" s="3"/>
      <c r="C1933" s="3"/>
      <c r="D1933" s="3"/>
      <c r="E1933" s="3"/>
      <c r="F1933" s="3"/>
      <c r="G1933" s="3"/>
      <c r="H1933" s="3"/>
      <c r="I1933" s="3"/>
      <c r="J1933" s="3"/>
      <c r="K1933" s="3"/>
      <c r="L1933" s="3"/>
      <c r="M1933" s="3"/>
      <c r="N1933" s="3"/>
    </row>
    <row r="1934" spans="1:14" ht="16.5" customHeight="1">
      <c r="A1934" s="3"/>
      <c r="B1934" s="3"/>
      <c r="C1934" s="3"/>
      <c r="D1934" s="3"/>
      <c r="E1934" s="3"/>
      <c r="F1934" s="3"/>
      <c r="G1934" s="3"/>
      <c r="H1934" s="3"/>
      <c r="I1934" s="3"/>
      <c r="J1934" s="3"/>
      <c r="K1934" s="3"/>
      <c r="L1934" s="3"/>
      <c r="M1934" s="3"/>
      <c r="N1934" s="3"/>
    </row>
    <row r="1935" spans="1:14" ht="16.5" customHeight="1">
      <c r="A1935" s="3"/>
      <c r="B1935" s="3"/>
      <c r="C1935" s="3"/>
      <c r="D1935" s="3"/>
      <c r="E1935" s="3"/>
      <c r="F1935" s="3"/>
      <c r="G1935" s="3"/>
      <c r="H1935" s="3"/>
      <c r="I1935" s="3"/>
      <c r="J1935" s="3"/>
      <c r="K1935" s="3"/>
      <c r="L1935" s="3"/>
      <c r="M1935" s="3"/>
      <c r="N1935" s="3"/>
    </row>
    <row r="1936" spans="1:14" ht="16.5" customHeight="1">
      <c r="A1936" s="3"/>
      <c r="B1936" s="3"/>
      <c r="C1936" s="3"/>
      <c r="D1936" s="3"/>
      <c r="E1936" s="3"/>
      <c r="F1936" s="3"/>
      <c r="G1936" s="3"/>
      <c r="H1936" s="3"/>
      <c r="I1936" s="3"/>
      <c r="J1936" s="3"/>
      <c r="K1936" s="3"/>
      <c r="L1936" s="3"/>
      <c r="M1936" s="3"/>
      <c r="N1936" s="3"/>
    </row>
    <row r="1937" spans="1:14" ht="16.5" customHeight="1">
      <c r="A1937" s="3"/>
      <c r="B1937" s="3"/>
      <c r="C1937" s="3"/>
      <c r="D1937" s="3"/>
      <c r="E1937" s="3"/>
      <c r="F1937" s="3"/>
      <c r="G1937" s="3"/>
      <c r="H1937" s="3"/>
      <c r="I1937" s="3"/>
      <c r="J1937" s="3"/>
      <c r="K1937" s="3"/>
      <c r="L1937" s="3"/>
      <c r="M1937" s="3"/>
      <c r="N1937" s="3"/>
    </row>
    <row r="1938" spans="1:14" ht="16.5" customHeight="1">
      <c r="A1938" s="3"/>
      <c r="B1938" s="3"/>
      <c r="C1938" s="3"/>
      <c r="D1938" s="3"/>
      <c r="E1938" s="3"/>
      <c r="F1938" s="3"/>
      <c r="G1938" s="3"/>
      <c r="H1938" s="3"/>
      <c r="I1938" s="3"/>
      <c r="J1938" s="3"/>
      <c r="K1938" s="3"/>
      <c r="L1938" s="3"/>
      <c r="M1938" s="3"/>
      <c r="N1938" s="3"/>
    </row>
    <row r="1939" spans="1:14" ht="16.5" customHeight="1">
      <c r="A1939" s="3"/>
      <c r="B1939" s="3"/>
      <c r="C1939" s="3"/>
      <c r="D1939" s="3"/>
      <c r="E1939" s="3"/>
      <c r="F1939" s="3"/>
      <c r="G1939" s="3"/>
      <c r="H1939" s="3"/>
      <c r="I1939" s="3"/>
      <c r="J1939" s="3"/>
      <c r="K1939" s="3"/>
      <c r="L1939" s="3"/>
      <c r="M1939" s="3"/>
      <c r="N1939" s="3"/>
    </row>
    <row r="1940" spans="1:14" ht="16.5" customHeight="1">
      <c r="A1940" s="3"/>
      <c r="B1940" s="3"/>
      <c r="C1940" s="3"/>
      <c r="D1940" s="3"/>
      <c r="E1940" s="3"/>
      <c r="F1940" s="3"/>
      <c r="G1940" s="3"/>
      <c r="H1940" s="3"/>
      <c r="I1940" s="3"/>
      <c r="J1940" s="3"/>
      <c r="K1940" s="3"/>
      <c r="L1940" s="3"/>
      <c r="M1940" s="3"/>
      <c r="N1940" s="3"/>
    </row>
    <row r="1941" spans="1:14" ht="16.5" customHeight="1">
      <c r="A1941" s="3"/>
      <c r="B1941" s="3"/>
      <c r="C1941" s="3"/>
      <c r="D1941" s="3"/>
      <c r="E1941" s="3"/>
      <c r="F1941" s="3"/>
      <c r="G1941" s="3"/>
      <c r="H1941" s="3"/>
      <c r="I1941" s="3"/>
      <c r="J1941" s="3"/>
      <c r="K1941" s="3"/>
      <c r="L1941" s="3"/>
      <c r="M1941" s="3"/>
      <c r="N1941" s="3"/>
    </row>
    <row r="1942" spans="1:14" ht="16.5" customHeight="1">
      <c r="A1942" s="3"/>
      <c r="B1942" s="3"/>
      <c r="C1942" s="3"/>
      <c r="D1942" s="3"/>
      <c r="E1942" s="3"/>
      <c r="F1942" s="3"/>
      <c r="G1942" s="3"/>
      <c r="H1942" s="3"/>
      <c r="I1942" s="3"/>
      <c r="J1942" s="3"/>
      <c r="K1942" s="3"/>
      <c r="L1942" s="3"/>
      <c r="M1942" s="3"/>
      <c r="N1942" s="3"/>
    </row>
    <row r="1943" spans="1:14" ht="16.5" customHeight="1">
      <c r="A1943" s="3"/>
      <c r="B1943" s="3"/>
      <c r="C1943" s="3"/>
      <c r="D1943" s="3"/>
      <c r="E1943" s="3"/>
      <c r="F1943" s="3"/>
      <c r="G1943" s="3"/>
      <c r="H1943" s="3"/>
      <c r="I1943" s="3"/>
      <c r="J1943" s="3"/>
      <c r="K1943" s="3"/>
      <c r="L1943" s="3"/>
      <c r="M1943" s="3"/>
      <c r="N1943" s="3"/>
    </row>
    <row r="1944" spans="1:14" ht="16.5" customHeight="1">
      <c r="A1944" s="3"/>
      <c r="B1944" s="3"/>
      <c r="C1944" s="3"/>
      <c r="D1944" s="3"/>
      <c r="E1944" s="3"/>
      <c r="F1944" s="3"/>
      <c r="G1944" s="3"/>
      <c r="H1944" s="3"/>
      <c r="I1944" s="3"/>
      <c r="J1944" s="3"/>
      <c r="K1944" s="3"/>
      <c r="L1944" s="3"/>
      <c r="M1944" s="3"/>
      <c r="N1944" s="3"/>
    </row>
    <row r="1945" spans="1:14" ht="16.5" customHeight="1">
      <c r="A1945" s="3"/>
      <c r="B1945" s="3"/>
      <c r="C1945" s="3"/>
      <c r="D1945" s="3"/>
      <c r="E1945" s="3"/>
      <c r="F1945" s="3"/>
      <c r="G1945" s="3"/>
      <c r="H1945" s="3"/>
      <c r="I1945" s="3"/>
      <c r="J1945" s="3"/>
      <c r="K1945" s="3"/>
      <c r="L1945" s="3"/>
      <c r="M1945" s="3"/>
      <c r="N1945" s="3"/>
    </row>
    <row r="1946" spans="1:14" ht="16.5" customHeight="1">
      <c r="A1946" s="3"/>
      <c r="B1946" s="3"/>
      <c r="C1946" s="3"/>
      <c r="D1946" s="3"/>
      <c r="E1946" s="3"/>
      <c r="F1946" s="3"/>
      <c r="G1946" s="3"/>
      <c r="H1946" s="3"/>
      <c r="I1946" s="3"/>
      <c r="J1946" s="3"/>
      <c r="K1946" s="3"/>
      <c r="L1946" s="3"/>
      <c r="M1946" s="3"/>
      <c r="N1946" s="3"/>
    </row>
    <row r="1947" spans="1:14" ht="16.5" customHeight="1">
      <c r="A1947" s="3"/>
      <c r="B1947" s="3"/>
      <c r="C1947" s="3"/>
      <c r="D1947" s="3"/>
      <c r="E1947" s="3"/>
      <c r="F1947" s="3"/>
      <c r="G1947" s="3"/>
      <c r="H1947" s="3"/>
      <c r="I1947" s="3"/>
      <c r="J1947" s="3"/>
      <c r="K1947" s="3"/>
      <c r="L1947" s="3"/>
      <c r="M1947" s="3"/>
      <c r="N1947" s="3"/>
    </row>
    <row r="1948" spans="1:14" ht="16.5" customHeight="1">
      <c r="A1948" s="3"/>
      <c r="B1948" s="3"/>
      <c r="C1948" s="3"/>
      <c r="D1948" s="3"/>
      <c r="E1948" s="3"/>
      <c r="F1948" s="3"/>
      <c r="G1948" s="3"/>
      <c r="H1948" s="3"/>
      <c r="I1948" s="3"/>
      <c r="J1948" s="3"/>
      <c r="K1948" s="3"/>
      <c r="L1948" s="3"/>
      <c r="M1948" s="3"/>
      <c r="N1948" s="3"/>
    </row>
    <row r="1949" spans="1:14" ht="16.5" customHeight="1">
      <c r="A1949" s="3"/>
      <c r="B1949" s="3"/>
      <c r="C1949" s="3"/>
      <c r="D1949" s="3"/>
      <c r="E1949" s="3"/>
      <c r="F1949" s="3"/>
      <c r="G1949" s="3"/>
      <c r="H1949" s="3"/>
      <c r="I1949" s="3"/>
      <c r="J1949" s="3"/>
      <c r="K1949" s="3"/>
      <c r="L1949" s="3"/>
      <c r="M1949" s="3"/>
      <c r="N1949" s="3"/>
    </row>
    <row r="1950" spans="1:14" ht="16.5" customHeight="1">
      <c r="A1950" s="3"/>
      <c r="B1950" s="3"/>
      <c r="C1950" s="3"/>
      <c r="D1950" s="3"/>
      <c r="E1950" s="3"/>
      <c r="F1950" s="3"/>
      <c r="G1950" s="3"/>
      <c r="H1950" s="3"/>
      <c r="I1950" s="3"/>
      <c r="J1950" s="3"/>
      <c r="K1950" s="3"/>
      <c r="L1950" s="3"/>
      <c r="M1950" s="3"/>
      <c r="N1950" s="3"/>
    </row>
    <row r="1951" spans="1:14" ht="16.5" customHeight="1">
      <c r="A1951" s="3"/>
      <c r="B1951" s="3"/>
      <c r="C1951" s="3"/>
      <c r="D1951" s="3"/>
      <c r="E1951" s="3"/>
      <c r="F1951" s="3"/>
      <c r="G1951" s="3"/>
      <c r="H1951" s="3"/>
      <c r="I1951" s="3"/>
      <c r="J1951" s="3"/>
      <c r="K1951" s="3"/>
      <c r="L1951" s="3"/>
      <c r="M1951" s="3"/>
      <c r="N1951" s="3"/>
    </row>
    <row r="1952" spans="1:14" ht="16.5" customHeight="1">
      <c r="A1952" s="3"/>
      <c r="B1952" s="3"/>
      <c r="C1952" s="3"/>
      <c r="D1952" s="3"/>
      <c r="E1952" s="3"/>
      <c r="F1952" s="3"/>
      <c r="G1952" s="3"/>
      <c r="H1952" s="3"/>
      <c r="I1952" s="3"/>
      <c r="J1952" s="3"/>
      <c r="K1952" s="3"/>
      <c r="L1952" s="3"/>
      <c r="M1952" s="3"/>
      <c r="N1952" s="3"/>
    </row>
    <row r="1953" spans="1:14" ht="16.5" customHeight="1">
      <c r="A1953" s="3"/>
      <c r="B1953" s="3"/>
      <c r="C1953" s="3"/>
      <c r="D1953" s="3"/>
      <c r="E1953" s="3"/>
      <c r="F1953" s="3"/>
      <c r="G1953" s="3"/>
      <c r="H1953" s="3"/>
      <c r="I1953" s="3"/>
      <c r="J1953" s="3"/>
      <c r="K1953" s="3"/>
      <c r="L1953" s="3"/>
      <c r="M1953" s="3"/>
      <c r="N1953" s="3"/>
    </row>
    <row r="1954" spans="1:14" ht="16.5" customHeight="1">
      <c r="A1954" s="3"/>
      <c r="B1954" s="3"/>
      <c r="C1954" s="3"/>
      <c r="D1954" s="3"/>
      <c r="E1954" s="3"/>
      <c r="F1954" s="3"/>
      <c r="G1954" s="3"/>
      <c r="H1954" s="3"/>
      <c r="I1954" s="3"/>
      <c r="J1954" s="3"/>
      <c r="K1954" s="3"/>
      <c r="L1954" s="3"/>
      <c r="M1954" s="3"/>
      <c r="N1954" s="3"/>
    </row>
    <row r="1955" spans="1:14" ht="16.5" customHeight="1">
      <c r="A1955" s="3"/>
      <c r="B1955" s="3"/>
      <c r="C1955" s="3"/>
      <c r="D1955" s="3"/>
      <c r="E1955" s="3"/>
      <c r="F1955" s="3"/>
      <c r="G1955" s="3"/>
      <c r="H1955" s="3"/>
      <c r="I1955" s="3"/>
      <c r="J1955" s="3"/>
      <c r="K1955" s="3"/>
      <c r="L1955" s="3"/>
      <c r="M1955" s="3"/>
      <c r="N1955" s="3"/>
    </row>
    <row r="1956" spans="1:14" ht="16.5" customHeight="1">
      <c r="A1956" s="3"/>
      <c r="B1956" s="3"/>
      <c r="C1956" s="3"/>
      <c r="D1956" s="3"/>
      <c r="E1956" s="3"/>
      <c r="F1956" s="3"/>
      <c r="G1956" s="3"/>
      <c r="H1956" s="3"/>
      <c r="I1956" s="3"/>
      <c r="J1956" s="3"/>
      <c r="K1956" s="3"/>
      <c r="L1956" s="3"/>
      <c r="M1956" s="3"/>
      <c r="N1956" s="3"/>
    </row>
    <row r="1957" spans="1:14" ht="16.5" customHeight="1">
      <c r="A1957" s="3"/>
      <c r="B1957" s="3"/>
      <c r="C1957" s="3"/>
      <c r="D1957" s="3"/>
      <c r="E1957" s="3"/>
      <c r="F1957" s="3"/>
      <c r="G1957" s="3"/>
      <c r="H1957" s="3"/>
      <c r="I1957" s="3"/>
      <c r="J1957" s="3"/>
      <c r="K1957" s="3"/>
      <c r="L1957" s="3"/>
      <c r="M1957" s="3"/>
      <c r="N1957" s="3"/>
    </row>
    <row r="1958" spans="1:14" ht="16.5" customHeight="1">
      <c r="A1958" s="3"/>
      <c r="B1958" s="3"/>
      <c r="C1958" s="3"/>
      <c r="D1958" s="3"/>
      <c r="E1958" s="3"/>
      <c r="F1958" s="3"/>
      <c r="G1958" s="3"/>
      <c r="H1958" s="3"/>
      <c r="I1958" s="3"/>
      <c r="J1958" s="3"/>
      <c r="K1958" s="3"/>
      <c r="L1958" s="3"/>
      <c r="M1958" s="3"/>
      <c r="N1958" s="3"/>
    </row>
    <row r="1959" spans="1:14" ht="16.5" customHeight="1">
      <c r="A1959" s="3"/>
      <c r="B1959" s="3"/>
      <c r="C1959" s="3"/>
      <c r="D1959" s="3"/>
      <c r="E1959" s="3"/>
      <c r="F1959" s="3"/>
      <c r="G1959" s="3"/>
      <c r="H1959" s="3"/>
      <c r="I1959" s="3"/>
      <c r="J1959" s="3"/>
      <c r="K1959" s="3"/>
      <c r="L1959" s="3"/>
      <c r="M1959" s="3"/>
      <c r="N1959" s="3"/>
    </row>
    <row r="1960" spans="1:14" ht="16.5" customHeight="1">
      <c r="A1960" s="3"/>
      <c r="B1960" s="3"/>
      <c r="C1960" s="3"/>
      <c r="D1960" s="3"/>
      <c r="E1960" s="3"/>
      <c r="F1960" s="3"/>
      <c r="G1960" s="3"/>
      <c r="H1960" s="3"/>
      <c r="I1960" s="3"/>
      <c r="J1960" s="3"/>
      <c r="K1960" s="3"/>
      <c r="L1960" s="3"/>
      <c r="M1960" s="3"/>
      <c r="N1960" s="3"/>
    </row>
    <row r="1961" spans="1:14" ht="16.5" customHeight="1">
      <c r="A1961" s="3"/>
      <c r="B1961" s="3"/>
      <c r="C1961" s="3"/>
      <c r="D1961" s="3"/>
      <c r="E1961" s="3"/>
      <c r="F1961" s="3"/>
      <c r="G1961" s="3"/>
      <c r="H1961" s="3"/>
      <c r="I1961" s="3"/>
      <c r="J1961" s="3"/>
      <c r="K1961" s="3"/>
      <c r="L1961" s="3"/>
      <c r="M1961" s="3"/>
      <c r="N1961" s="3"/>
    </row>
    <row r="1962" spans="1:14" ht="16.5" customHeight="1">
      <c r="A1962" s="3"/>
      <c r="B1962" s="3"/>
      <c r="C1962" s="3"/>
      <c r="D1962" s="3"/>
      <c r="E1962" s="3"/>
      <c r="F1962" s="3"/>
      <c r="G1962" s="3"/>
      <c r="H1962" s="3"/>
      <c r="I1962" s="3"/>
      <c r="J1962" s="3"/>
      <c r="K1962" s="3"/>
      <c r="L1962" s="3"/>
      <c r="M1962" s="3"/>
      <c r="N1962" s="3"/>
    </row>
    <row r="1963" spans="1:14" ht="16.5" customHeight="1">
      <c r="A1963" s="3"/>
      <c r="B1963" s="3"/>
      <c r="C1963" s="3"/>
      <c r="D1963" s="3"/>
      <c r="E1963" s="3"/>
      <c r="F1963" s="3"/>
      <c r="G1963" s="3"/>
      <c r="H1963" s="3"/>
      <c r="I1963" s="3"/>
      <c r="J1963" s="3"/>
      <c r="K1963" s="3"/>
      <c r="L1963" s="3"/>
      <c r="M1963" s="3"/>
      <c r="N1963" s="3"/>
    </row>
    <row r="1964" spans="1:14" ht="16.5" customHeight="1">
      <c r="A1964" s="3"/>
      <c r="B1964" s="3"/>
      <c r="C1964" s="3"/>
      <c r="D1964" s="3"/>
      <c r="E1964" s="3"/>
      <c r="F1964" s="3"/>
      <c r="G1964" s="3"/>
      <c r="H1964" s="3"/>
      <c r="I1964" s="3"/>
      <c r="J1964" s="3"/>
      <c r="K1964" s="3"/>
      <c r="L1964" s="3"/>
      <c r="M1964" s="3"/>
      <c r="N1964" s="3"/>
    </row>
    <row r="1965" spans="1:14" ht="16.5" customHeight="1">
      <c r="A1965" s="3"/>
      <c r="B1965" s="3"/>
      <c r="C1965" s="3"/>
      <c r="D1965" s="3"/>
      <c r="E1965" s="3"/>
      <c r="F1965" s="3"/>
      <c r="G1965" s="3"/>
      <c r="H1965" s="3"/>
      <c r="I1965" s="3"/>
      <c r="J1965" s="3"/>
      <c r="K1965" s="3"/>
      <c r="L1965" s="3"/>
      <c r="M1965" s="3"/>
      <c r="N1965" s="3"/>
    </row>
    <row r="1966" spans="1:14" ht="16.5" customHeight="1">
      <c r="A1966" s="3"/>
      <c r="B1966" s="3"/>
      <c r="C1966" s="3"/>
      <c r="D1966" s="3"/>
      <c r="E1966" s="3"/>
      <c r="F1966" s="3"/>
      <c r="G1966" s="3"/>
      <c r="H1966" s="3"/>
      <c r="I1966" s="3"/>
      <c r="J1966" s="3"/>
      <c r="K1966" s="3"/>
      <c r="L1966" s="3"/>
      <c r="M1966" s="3"/>
      <c r="N1966" s="3"/>
    </row>
    <row r="1967" spans="1:14" ht="16.5" customHeight="1">
      <c r="A1967" s="3"/>
      <c r="B1967" s="3"/>
      <c r="C1967" s="3"/>
      <c r="D1967" s="3"/>
      <c r="E1967" s="3"/>
      <c r="F1967" s="3"/>
      <c r="G1967" s="3"/>
      <c r="H1967" s="3"/>
      <c r="I1967" s="3"/>
      <c r="J1967" s="3"/>
      <c r="K1967" s="3"/>
      <c r="L1967" s="3"/>
      <c r="M1967" s="3"/>
      <c r="N1967" s="3"/>
    </row>
    <row r="1968" spans="1:14" ht="16.5" customHeight="1">
      <c r="A1968" s="3"/>
      <c r="B1968" s="3"/>
      <c r="C1968" s="3"/>
      <c r="D1968" s="3"/>
      <c r="E1968" s="3"/>
      <c r="F1968" s="3"/>
      <c r="G1968" s="3"/>
      <c r="H1968" s="3"/>
      <c r="I1968" s="3"/>
      <c r="J1968" s="3"/>
      <c r="K1968" s="3"/>
      <c r="L1968" s="3"/>
      <c r="M1968" s="3"/>
      <c r="N1968" s="3"/>
    </row>
    <row r="1969" spans="1:14" ht="16.5" customHeight="1">
      <c r="A1969" s="3"/>
      <c r="B1969" s="3"/>
      <c r="C1969" s="3"/>
      <c r="D1969" s="3"/>
      <c r="E1969" s="3"/>
      <c r="F1969" s="3"/>
      <c r="G1969" s="3"/>
      <c r="H1969" s="3"/>
      <c r="I1969" s="3"/>
      <c r="J1969" s="3"/>
      <c r="K1969" s="3"/>
      <c r="L1969" s="3"/>
      <c r="M1969" s="3"/>
      <c r="N1969" s="3"/>
    </row>
    <row r="1970" spans="1:14" ht="16.5" customHeight="1">
      <c r="A1970" s="3"/>
      <c r="B1970" s="3"/>
      <c r="C1970" s="3"/>
      <c r="D1970" s="3"/>
      <c r="E1970" s="3"/>
      <c r="F1970" s="3"/>
      <c r="G1970" s="3"/>
      <c r="H1970" s="3"/>
      <c r="I1970" s="3"/>
      <c r="J1970" s="3"/>
      <c r="K1970" s="3"/>
      <c r="L1970" s="3"/>
      <c r="M1970" s="3"/>
      <c r="N1970" s="3"/>
    </row>
    <row r="1971" spans="1:14" ht="16.5" customHeight="1">
      <c r="A1971" s="3"/>
      <c r="B1971" s="3"/>
      <c r="C1971" s="3"/>
      <c r="D1971" s="3"/>
      <c r="E1971" s="3"/>
      <c r="F1971" s="3"/>
      <c r="G1971" s="3"/>
      <c r="H1971" s="3"/>
      <c r="I1971" s="3"/>
      <c r="J1971" s="3"/>
      <c r="K1971" s="3"/>
      <c r="L1971" s="3"/>
      <c r="M1971" s="3"/>
      <c r="N1971" s="3"/>
    </row>
    <row r="1972" spans="1:14" ht="16.5" customHeight="1">
      <c r="A1972" s="3"/>
      <c r="B1972" s="3"/>
      <c r="C1972" s="3"/>
      <c r="D1972" s="3"/>
      <c r="E1972" s="3"/>
      <c r="F1972" s="3"/>
      <c r="G1972" s="3"/>
      <c r="H1972" s="3"/>
      <c r="I1972" s="3"/>
      <c r="J1972" s="3"/>
      <c r="K1972" s="3"/>
      <c r="L1972" s="3"/>
      <c r="M1972" s="3"/>
      <c r="N1972" s="3"/>
    </row>
    <row r="1973" spans="1:14" ht="16.5" customHeight="1">
      <c r="A1973" s="3"/>
      <c r="B1973" s="3"/>
      <c r="C1973" s="3"/>
      <c r="D1973" s="3"/>
      <c r="E1973" s="3"/>
      <c r="F1973" s="3"/>
      <c r="G1973" s="3"/>
      <c r="H1973" s="3"/>
      <c r="I1973" s="3"/>
      <c r="J1973" s="3"/>
      <c r="K1973" s="3"/>
      <c r="L1973" s="3"/>
      <c r="M1973" s="3"/>
      <c r="N1973" s="3"/>
    </row>
    <row r="1974" spans="1:14" ht="16.5" customHeight="1">
      <c r="A1974" s="3"/>
      <c r="B1974" s="3"/>
      <c r="C1974" s="3"/>
      <c r="D1974" s="3"/>
      <c r="E1974" s="3"/>
      <c r="F1974" s="3"/>
      <c r="G1974" s="3"/>
      <c r="H1974" s="3"/>
      <c r="I1974" s="3"/>
      <c r="J1974" s="3"/>
      <c r="K1974" s="3"/>
      <c r="L1974" s="3"/>
      <c r="M1974" s="3"/>
      <c r="N1974" s="3"/>
    </row>
    <row r="1975" spans="1:14" ht="16.5" customHeight="1">
      <c r="A1975" s="3"/>
      <c r="B1975" s="3"/>
      <c r="C1975" s="3"/>
      <c r="D1975" s="3"/>
      <c r="E1975" s="3"/>
      <c r="F1975" s="3"/>
      <c r="G1975" s="3"/>
      <c r="H1975" s="3"/>
      <c r="I1975" s="3"/>
      <c r="J1975" s="3"/>
      <c r="K1975" s="3"/>
      <c r="L1975" s="3"/>
      <c r="M1975" s="3"/>
      <c r="N1975" s="3"/>
    </row>
    <row r="1976" spans="1:14" ht="16.5" customHeight="1">
      <c r="A1976" s="3"/>
      <c r="B1976" s="3"/>
      <c r="C1976" s="3"/>
      <c r="D1976" s="3"/>
      <c r="E1976" s="3"/>
      <c r="F1976" s="3"/>
      <c r="G1976" s="3"/>
      <c r="H1976" s="3"/>
      <c r="I1976" s="3"/>
      <c r="J1976" s="3"/>
      <c r="K1976" s="3"/>
      <c r="L1976" s="3"/>
      <c r="M1976" s="3"/>
      <c r="N1976" s="3"/>
    </row>
    <row r="1977" spans="1:14" ht="16.5" customHeight="1">
      <c r="A1977" s="3"/>
      <c r="B1977" s="3"/>
      <c r="C1977" s="3"/>
      <c r="D1977" s="3"/>
      <c r="E1977" s="3"/>
      <c r="F1977" s="3"/>
      <c r="G1977" s="3"/>
      <c r="H1977" s="3"/>
      <c r="I1977" s="3"/>
      <c r="J1977" s="3"/>
      <c r="K1977" s="3"/>
      <c r="L1977" s="3"/>
      <c r="M1977" s="3"/>
      <c r="N1977" s="3"/>
    </row>
    <row r="1978" spans="1:14" ht="16.5" customHeight="1">
      <c r="A1978" s="3"/>
      <c r="B1978" s="3"/>
      <c r="C1978" s="3"/>
      <c r="D1978" s="3"/>
      <c r="E1978" s="3"/>
      <c r="F1978" s="3"/>
      <c r="G1978" s="3"/>
      <c r="H1978" s="3"/>
      <c r="I1978" s="3"/>
      <c r="J1978" s="3"/>
      <c r="K1978" s="3"/>
      <c r="L1978" s="3"/>
      <c r="M1978" s="3"/>
      <c r="N1978" s="3"/>
    </row>
    <row r="1979" spans="1:14" ht="16.5" customHeight="1">
      <c r="A1979" s="3"/>
      <c r="B1979" s="3"/>
      <c r="C1979" s="3"/>
      <c r="D1979" s="3"/>
      <c r="E1979" s="3"/>
      <c r="F1979" s="3"/>
      <c r="G1979" s="3"/>
      <c r="H1979" s="3"/>
      <c r="I1979" s="3"/>
      <c r="J1979" s="3"/>
      <c r="K1979" s="3"/>
      <c r="L1979" s="3"/>
      <c r="M1979" s="3"/>
      <c r="N1979" s="3"/>
    </row>
    <row r="1980" spans="1:14" ht="16.5" customHeight="1">
      <c r="A1980" s="3"/>
      <c r="B1980" s="3"/>
      <c r="C1980" s="3"/>
      <c r="D1980" s="3"/>
      <c r="E1980" s="3"/>
      <c r="F1980" s="3"/>
      <c r="G1980" s="3"/>
      <c r="H1980" s="3"/>
      <c r="I1980" s="3"/>
      <c r="J1980" s="3"/>
      <c r="K1980" s="3"/>
      <c r="L1980" s="3"/>
      <c r="M1980" s="3"/>
      <c r="N1980" s="3"/>
    </row>
    <row r="1981" spans="1:14" ht="16.5" customHeight="1">
      <c r="A1981" s="3"/>
      <c r="B1981" s="3"/>
      <c r="C1981" s="3"/>
      <c r="D1981" s="3"/>
      <c r="E1981" s="3"/>
      <c r="F1981" s="3"/>
      <c r="G1981" s="3"/>
      <c r="H1981" s="3"/>
      <c r="I1981" s="3"/>
      <c r="J1981" s="3"/>
      <c r="K1981" s="3"/>
      <c r="L1981" s="3"/>
      <c r="M1981" s="3"/>
      <c r="N1981" s="3"/>
    </row>
    <row r="1982" spans="1:14" ht="16.5" customHeight="1">
      <c r="A1982" s="3"/>
      <c r="B1982" s="3"/>
      <c r="C1982" s="3"/>
      <c r="D1982" s="3"/>
      <c r="E1982" s="3"/>
      <c r="F1982" s="3"/>
      <c r="G1982" s="3"/>
      <c r="H1982" s="3"/>
      <c r="I1982" s="3"/>
      <c r="J1982" s="3"/>
      <c r="K1982" s="3"/>
      <c r="L1982" s="3"/>
      <c r="M1982" s="3"/>
      <c r="N1982" s="3"/>
    </row>
    <row r="1983" spans="1:14" ht="16.5" customHeight="1">
      <c r="A1983" s="3"/>
      <c r="B1983" s="3"/>
      <c r="C1983" s="3"/>
      <c r="D1983" s="3"/>
      <c r="E1983" s="3"/>
      <c r="F1983" s="3"/>
      <c r="G1983" s="3"/>
      <c r="H1983" s="3"/>
      <c r="I1983" s="3"/>
      <c r="J1983" s="3"/>
      <c r="K1983" s="3"/>
      <c r="L1983" s="3"/>
      <c r="M1983" s="3"/>
      <c r="N1983" s="3"/>
    </row>
    <row r="1984" spans="1:14" ht="16.5" customHeight="1">
      <c r="A1984" s="3"/>
      <c r="B1984" s="3"/>
      <c r="C1984" s="3"/>
      <c r="D1984" s="3"/>
      <c r="E1984" s="3"/>
      <c r="F1984" s="3"/>
      <c r="G1984" s="3"/>
      <c r="H1984" s="3"/>
      <c r="I1984" s="3"/>
      <c r="J1984" s="3"/>
      <c r="K1984" s="3"/>
      <c r="L1984" s="3"/>
      <c r="M1984" s="3"/>
      <c r="N1984" s="3"/>
    </row>
    <row r="1985" spans="1:14" ht="16.5" customHeight="1">
      <c r="A1985" s="3"/>
      <c r="B1985" s="3"/>
      <c r="C1985" s="3"/>
      <c r="D1985" s="3"/>
      <c r="E1985" s="3"/>
      <c r="F1985" s="3"/>
      <c r="G1985" s="3"/>
      <c r="H1985" s="3"/>
      <c r="I1985" s="3"/>
      <c r="J1985" s="3"/>
      <c r="K1985" s="3"/>
      <c r="L1985" s="3"/>
      <c r="M1985" s="3"/>
      <c r="N1985" s="3"/>
    </row>
    <row r="1986" spans="1:14" ht="16.5" customHeight="1">
      <c r="A1986" s="3"/>
      <c r="B1986" s="3"/>
      <c r="C1986" s="3"/>
      <c r="D1986" s="3"/>
      <c r="E1986" s="3"/>
      <c r="F1986" s="3"/>
      <c r="G1986" s="3"/>
      <c r="H1986" s="3"/>
      <c r="I1986" s="3"/>
      <c r="J1986" s="3"/>
      <c r="K1986" s="3"/>
      <c r="L1986" s="3"/>
      <c r="M1986" s="3"/>
      <c r="N1986" s="3"/>
    </row>
    <row r="1987" spans="1:14" ht="16.5" customHeight="1">
      <c r="A1987" s="3"/>
      <c r="B1987" s="3"/>
      <c r="C1987" s="3"/>
      <c r="D1987" s="3"/>
      <c r="E1987" s="3"/>
      <c r="F1987" s="3"/>
      <c r="G1987" s="3"/>
      <c r="H1987" s="3"/>
      <c r="I1987" s="3"/>
      <c r="J1987" s="3"/>
      <c r="K1987" s="3"/>
      <c r="L1987" s="3"/>
      <c r="M1987" s="3"/>
      <c r="N1987" s="3"/>
    </row>
    <row r="1988" spans="1:14" ht="16.5" customHeight="1">
      <c r="A1988" s="3"/>
      <c r="B1988" s="3"/>
      <c r="C1988" s="3"/>
      <c r="D1988" s="3"/>
      <c r="E1988" s="3"/>
      <c r="F1988" s="3"/>
      <c r="G1988" s="3"/>
      <c r="H1988" s="3"/>
      <c r="I1988" s="3"/>
      <c r="J1988" s="3"/>
      <c r="K1988" s="3"/>
      <c r="L1988" s="3"/>
      <c r="M1988" s="3"/>
      <c r="N1988" s="3"/>
    </row>
    <row r="1989" spans="1:14" ht="16.5" customHeight="1">
      <c r="A1989" s="3"/>
      <c r="B1989" s="3"/>
      <c r="C1989" s="3"/>
      <c r="D1989" s="3"/>
      <c r="E1989" s="3"/>
      <c r="F1989" s="3"/>
      <c r="G1989" s="3"/>
      <c r="H1989" s="3"/>
      <c r="I1989" s="3"/>
      <c r="J1989" s="3"/>
      <c r="K1989" s="3"/>
      <c r="L1989" s="3"/>
      <c r="M1989" s="3"/>
      <c r="N1989" s="3"/>
    </row>
    <row r="1990" spans="1:14" ht="16.5" customHeight="1">
      <c r="A1990" s="3"/>
      <c r="B1990" s="3"/>
      <c r="C1990" s="3"/>
      <c r="D1990" s="3"/>
      <c r="E1990" s="3"/>
      <c r="F1990" s="3"/>
      <c r="G1990" s="3"/>
      <c r="H1990" s="3"/>
      <c r="I1990" s="3"/>
      <c r="J1990" s="3"/>
      <c r="K1990" s="3"/>
      <c r="L1990" s="3"/>
      <c r="M1990" s="3"/>
      <c r="N1990" s="3"/>
    </row>
    <row r="1991" spans="1:14" ht="16.5" customHeight="1">
      <c r="A1991" s="3"/>
      <c r="B1991" s="3"/>
      <c r="C1991" s="3"/>
      <c r="D1991" s="3"/>
      <c r="E1991" s="3"/>
      <c r="F1991" s="3"/>
      <c r="G1991" s="3"/>
      <c r="H1991" s="3"/>
      <c r="I1991" s="3"/>
      <c r="J1991" s="3"/>
      <c r="K1991" s="3"/>
      <c r="L1991" s="3"/>
      <c r="M1991" s="3"/>
      <c r="N1991" s="3"/>
    </row>
    <row r="1992" spans="1:14" ht="16.5" customHeight="1">
      <c r="A1992" s="3"/>
      <c r="B1992" s="3"/>
      <c r="C1992" s="3"/>
      <c r="D1992" s="3"/>
      <c r="E1992" s="3"/>
      <c r="F1992" s="3"/>
      <c r="G1992" s="3"/>
      <c r="H1992" s="3"/>
      <c r="I1992" s="3"/>
      <c r="J1992" s="3"/>
      <c r="K1992" s="3"/>
      <c r="L1992" s="3"/>
      <c r="M1992" s="3"/>
      <c r="N1992" s="3"/>
    </row>
    <row r="1993" spans="1:14" ht="16.5" customHeight="1">
      <c r="A1993" s="3"/>
      <c r="B1993" s="3"/>
      <c r="C1993" s="3"/>
      <c r="D1993" s="3"/>
      <c r="E1993" s="3"/>
      <c r="F1993" s="3"/>
      <c r="G1993" s="3"/>
      <c r="H1993" s="3"/>
      <c r="I1993" s="3"/>
      <c r="J1993" s="3"/>
      <c r="K1993" s="3"/>
      <c r="L1993" s="3"/>
      <c r="M1993" s="3"/>
      <c r="N1993" s="3"/>
    </row>
    <row r="1994" spans="1:14" ht="16.5" customHeight="1">
      <c r="A1994" s="3"/>
      <c r="B1994" s="3"/>
      <c r="C1994" s="3"/>
      <c r="D1994" s="3"/>
      <c r="E1994" s="3"/>
      <c r="F1994" s="3"/>
      <c r="G1994" s="3"/>
      <c r="H1994" s="3"/>
      <c r="I1994" s="3"/>
      <c r="J1994" s="3"/>
      <c r="K1994" s="3"/>
      <c r="L1994" s="3"/>
      <c r="M1994" s="3"/>
      <c r="N1994" s="3"/>
    </row>
    <row r="1995" spans="1:14" ht="16.5" customHeight="1">
      <c r="A1995" s="3"/>
      <c r="B1995" s="3"/>
      <c r="C1995" s="3"/>
      <c r="D1995" s="3"/>
      <c r="E1995" s="3"/>
      <c r="F1995" s="3"/>
      <c r="G1995" s="3"/>
      <c r="H1995" s="3"/>
      <c r="I1995" s="3"/>
      <c r="J1995" s="3"/>
      <c r="K1995" s="3"/>
      <c r="L1995" s="3"/>
      <c r="M1995" s="3"/>
      <c r="N1995" s="3"/>
    </row>
    <row r="1996" spans="1:14" ht="16.5" customHeight="1">
      <c r="A1996" s="3"/>
      <c r="B1996" s="3"/>
      <c r="C1996" s="3"/>
      <c r="D1996" s="3"/>
      <c r="E1996" s="3"/>
      <c r="F1996" s="3"/>
      <c r="G1996" s="3"/>
      <c r="H1996" s="3"/>
      <c r="I1996" s="3"/>
      <c r="J1996" s="3"/>
      <c r="K1996" s="3"/>
      <c r="L1996" s="3"/>
      <c r="M1996" s="3"/>
      <c r="N1996" s="3"/>
    </row>
    <row r="1997" spans="1:14" ht="16.5" customHeight="1">
      <c r="A1997" s="3"/>
      <c r="B1997" s="3"/>
      <c r="C1997" s="3"/>
      <c r="D1997" s="3"/>
      <c r="E1997" s="3"/>
      <c r="F1997" s="3"/>
      <c r="G1997" s="3"/>
      <c r="H1997" s="3"/>
      <c r="I1997" s="3"/>
      <c r="J1997" s="3"/>
      <c r="K1997" s="3"/>
      <c r="L1997" s="3"/>
      <c r="M1997" s="3"/>
      <c r="N1997" s="3"/>
    </row>
    <row r="1998" spans="1:14" ht="16.5" customHeight="1">
      <c r="A1998" s="3"/>
      <c r="B1998" s="3"/>
      <c r="C1998" s="3"/>
      <c r="D1998" s="3"/>
      <c r="E1998" s="3"/>
      <c r="F1998" s="3"/>
      <c r="G1998" s="3"/>
      <c r="H1998" s="3"/>
      <c r="I1998" s="3"/>
      <c r="J1998" s="3"/>
      <c r="K1998" s="3"/>
      <c r="L1998" s="3"/>
      <c r="M1998" s="3"/>
      <c r="N1998" s="3"/>
    </row>
    <row r="1999" spans="1:14" ht="16.5" customHeight="1">
      <c r="A1999" s="3"/>
      <c r="B1999" s="3"/>
      <c r="C1999" s="3"/>
      <c r="D1999" s="3"/>
      <c r="E1999" s="3"/>
      <c r="F1999" s="3"/>
      <c r="G1999" s="3"/>
      <c r="H1999" s="3"/>
      <c r="I1999" s="3"/>
      <c r="J1999" s="3"/>
      <c r="K1999" s="3"/>
      <c r="L1999" s="3"/>
      <c r="M1999" s="3"/>
      <c r="N1999" s="3"/>
    </row>
    <row r="2000" spans="1:14" ht="16.5" customHeight="1">
      <c r="A2000" s="3"/>
      <c r="B2000" s="3"/>
      <c r="C2000" s="3"/>
      <c r="D2000" s="3"/>
      <c r="E2000" s="3"/>
      <c r="F2000" s="3"/>
      <c r="G2000" s="3"/>
      <c r="H2000" s="3"/>
      <c r="I2000" s="3"/>
      <c r="J2000" s="3"/>
      <c r="K2000" s="3"/>
      <c r="L2000" s="3"/>
      <c r="M2000" s="3"/>
      <c r="N2000" s="3"/>
    </row>
    <row r="2001" spans="1:14" ht="16.5" customHeight="1">
      <c r="A2001" s="3"/>
      <c r="B2001" s="3"/>
      <c r="C2001" s="3"/>
      <c r="D2001" s="3"/>
      <c r="E2001" s="3"/>
      <c r="F2001" s="3"/>
      <c r="G2001" s="3"/>
      <c r="H2001" s="3"/>
      <c r="I2001" s="3"/>
      <c r="J2001" s="3"/>
      <c r="K2001" s="3"/>
      <c r="L2001" s="3"/>
      <c r="M2001" s="3"/>
      <c r="N2001" s="3"/>
    </row>
    <row r="2002" spans="1:14" ht="16.5" customHeight="1">
      <c r="A2002" s="3"/>
      <c r="B2002" s="3"/>
      <c r="C2002" s="3"/>
      <c r="D2002" s="3"/>
      <c r="E2002" s="3"/>
      <c r="F2002" s="3"/>
      <c r="G2002" s="3"/>
      <c r="H2002" s="3"/>
      <c r="I2002" s="3"/>
      <c r="J2002" s="3"/>
      <c r="K2002" s="3"/>
      <c r="L2002" s="3"/>
      <c r="M2002" s="3"/>
      <c r="N2002" s="3"/>
    </row>
    <row r="2003" spans="1:14" ht="16.5" customHeight="1">
      <c r="A2003" s="3"/>
      <c r="B2003" s="3"/>
      <c r="C2003" s="3"/>
      <c r="D2003" s="3"/>
      <c r="E2003" s="3"/>
      <c r="F2003" s="3"/>
      <c r="G2003" s="3"/>
      <c r="H2003" s="3"/>
      <c r="I2003" s="3"/>
      <c r="J2003" s="3"/>
      <c r="K2003" s="3"/>
      <c r="L2003" s="3"/>
      <c r="M2003" s="3"/>
      <c r="N2003" s="3"/>
    </row>
    <row r="2004" spans="1:14" ht="16.5" customHeight="1">
      <c r="A2004" s="3"/>
      <c r="B2004" s="3"/>
      <c r="C2004" s="3"/>
      <c r="D2004" s="3"/>
      <c r="E2004" s="3"/>
      <c r="F2004" s="3"/>
      <c r="G2004" s="3"/>
      <c r="H2004" s="3"/>
      <c r="I2004" s="3"/>
      <c r="J2004" s="3"/>
      <c r="K2004" s="3"/>
      <c r="L2004" s="3"/>
      <c r="M2004" s="3"/>
      <c r="N2004" s="3"/>
    </row>
    <row r="2005" spans="1:14" ht="16.5" customHeight="1">
      <c r="A2005" s="3"/>
      <c r="B2005" s="3"/>
      <c r="C2005" s="3"/>
      <c r="D2005" s="3"/>
      <c r="E2005" s="3"/>
      <c r="F2005" s="3"/>
      <c r="G2005" s="3"/>
      <c r="H2005" s="3"/>
      <c r="I2005" s="3"/>
      <c r="J2005" s="3"/>
      <c r="K2005" s="3"/>
      <c r="L2005" s="3"/>
      <c r="M2005" s="3"/>
      <c r="N2005" s="3"/>
    </row>
    <row r="2006" spans="1:14" ht="16.5" customHeight="1">
      <c r="A2006" s="3"/>
      <c r="B2006" s="3"/>
      <c r="C2006" s="3"/>
      <c r="D2006" s="3"/>
      <c r="E2006" s="3"/>
      <c r="F2006" s="3"/>
      <c r="G2006" s="3"/>
      <c r="H2006" s="3"/>
      <c r="I2006" s="3"/>
      <c r="J2006" s="3"/>
      <c r="K2006" s="3"/>
      <c r="L2006" s="3"/>
      <c r="M2006" s="3"/>
      <c r="N2006" s="3"/>
    </row>
    <row r="2007" spans="1:14" ht="16.5" customHeight="1">
      <c r="A2007" s="3"/>
      <c r="B2007" s="3"/>
      <c r="C2007" s="3"/>
      <c r="D2007" s="3"/>
      <c r="E2007" s="3"/>
      <c r="F2007" s="3"/>
      <c r="G2007" s="3"/>
      <c r="H2007" s="3"/>
      <c r="I2007" s="3"/>
      <c r="J2007" s="3"/>
      <c r="K2007" s="3"/>
      <c r="L2007" s="3"/>
      <c r="M2007" s="3"/>
      <c r="N2007" s="3"/>
    </row>
    <row r="2008" spans="1:14" ht="16.5" customHeight="1">
      <c r="A2008" s="3"/>
      <c r="B2008" s="3"/>
      <c r="C2008" s="3"/>
      <c r="D2008" s="3"/>
      <c r="E2008" s="3"/>
      <c r="F2008" s="3"/>
      <c r="G2008" s="3"/>
      <c r="H2008" s="3"/>
      <c r="I2008" s="3"/>
      <c r="J2008" s="3"/>
      <c r="K2008" s="3"/>
      <c r="L2008" s="3"/>
      <c r="M2008" s="3"/>
      <c r="N2008" s="3"/>
    </row>
    <row r="2009" spans="1:14" ht="16.5" customHeight="1">
      <c r="A2009" s="3"/>
      <c r="B2009" s="3"/>
      <c r="C2009" s="3"/>
      <c r="D2009" s="3"/>
      <c r="E2009" s="3"/>
      <c r="F2009" s="3"/>
      <c r="G2009" s="3"/>
      <c r="H2009" s="3"/>
      <c r="I2009" s="3"/>
      <c r="J2009" s="3"/>
      <c r="K2009" s="3"/>
      <c r="L2009" s="3"/>
      <c r="M2009" s="3"/>
      <c r="N2009" s="3"/>
    </row>
    <row r="2010" spans="1:14" ht="16.5" customHeight="1">
      <c r="A2010" s="3"/>
      <c r="B2010" s="3"/>
      <c r="C2010" s="3"/>
      <c r="D2010" s="3"/>
      <c r="E2010" s="3"/>
      <c r="F2010" s="3"/>
      <c r="G2010" s="3"/>
      <c r="H2010" s="3"/>
      <c r="I2010" s="3"/>
      <c r="J2010" s="3"/>
      <c r="K2010" s="3"/>
      <c r="L2010" s="3"/>
      <c r="M2010" s="3"/>
      <c r="N2010" s="3"/>
    </row>
    <row r="2011" spans="1:14" ht="16.5" customHeight="1">
      <c r="A2011" s="3"/>
      <c r="B2011" s="3"/>
      <c r="C2011" s="3"/>
      <c r="D2011" s="3"/>
      <c r="E2011" s="3"/>
      <c r="F2011" s="3"/>
      <c r="G2011" s="3"/>
      <c r="H2011" s="3"/>
      <c r="I2011" s="3"/>
      <c r="J2011" s="3"/>
      <c r="K2011" s="3"/>
      <c r="L2011" s="3"/>
      <c r="M2011" s="3"/>
      <c r="N2011" s="3"/>
    </row>
    <row r="2012" spans="1:14" ht="16.5" customHeight="1">
      <c r="A2012" s="3"/>
      <c r="B2012" s="3"/>
      <c r="C2012" s="3"/>
      <c r="D2012" s="3"/>
      <c r="E2012" s="3"/>
      <c r="F2012" s="3"/>
      <c r="G2012" s="3"/>
      <c r="H2012" s="3"/>
      <c r="I2012" s="3"/>
      <c r="J2012" s="3"/>
      <c r="K2012" s="3"/>
      <c r="L2012" s="3"/>
      <c r="M2012" s="3"/>
      <c r="N2012" s="3"/>
    </row>
    <row r="2013" spans="1:14" ht="16.5" customHeight="1">
      <c r="A2013" s="3"/>
      <c r="B2013" s="3"/>
      <c r="C2013" s="3"/>
      <c r="D2013" s="3"/>
      <c r="E2013" s="3"/>
      <c r="F2013" s="3"/>
      <c r="G2013" s="3"/>
      <c r="H2013" s="3"/>
      <c r="I2013" s="3"/>
      <c r="J2013" s="3"/>
      <c r="K2013" s="3"/>
      <c r="L2013" s="3"/>
      <c r="M2013" s="3"/>
      <c r="N2013" s="3"/>
    </row>
    <row r="2014" spans="1:14" ht="16.5" customHeight="1">
      <c r="A2014" s="3"/>
      <c r="B2014" s="3"/>
      <c r="C2014" s="3"/>
      <c r="D2014" s="3"/>
      <c r="E2014" s="3"/>
      <c r="F2014" s="3"/>
      <c r="G2014" s="3"/>
      <c r="H2014" s="3"/>
      <c r="I2014" s="3"/>
      <c r="J2014" s="3"/>
      <c r="K2014" s="3"/>
      <c r="L2014" s="3"/>
      <c r="M2014" s="3"/>
      <c r="N2014" s="3"/>
    </row>
    <row r="2015" spans="1:14" ht="16.5" customHeight="1">
      <c r="A2015" s="3"/>
      <c r="B2015" s="3"/>
      <c r="C2015" s="3"/>
      <c r="D2015" s="3"/>
      <c r="E2015" s="3"/>
      <c r="F2015" s="3"/>
      <c r="G2015" s="3"/>
      <c r="H2015" s="3"/>
      <c r="I2015" s="3"/>
      <c r="J2015" s="3"/>
      <c r="K2015" s="3"/>
      <c r="L2015" s="3"/>
      <c r="M2015" s="3"/>
      <c r="N2015" s="3"/>
    </row>
    <row r="2016" spans="1:14" ht="16.5" customHeight="1">
      <c r="A2016" s="3"/>
      <c r="B2016" s="3"/>
      <c r="C2016" s="3"/>
      <c r="D2016" s="3"/>
      <c r="E2016" s="3"/>
      <c r="F2016" s="3"/>
      <c r="G2016" s="3"/>
      <c r="H2016" s="3"/>
      <c r="I2016" s="3"/>
      <c r="J2016" s="3"/>
      <c r="K2016" s="3"/>
      <c r="L2016" s="3"/>
      <c r="M2016" s="3"/>
      <c r="N2016" s="3"/>
    </row>
    <row r="2017" spans="1:14" ht="16.5" customHeight="1">
      <c r="A2017" s="3"/>
      <c r="B2017" s="3"/>
      <c r="C2017" s="3"/>
      <c r="D2017" s="3"/>
      <c r="E2017" s="3"/>
      <c r="F2017" s="3"/>
      <c r="G2017" s="3"/>
      <c r="H2017" s="3"/>
      <c r="I2017" s="3"/>
      <c r="J2017" s="3"/>
      <c r="K2017" s="3"/>
      <c r="L2017" s="3"/>
      <c r="M2017" s="3"/>
      <c r="N2017" s="3"/>
    </row>
    <row r="2018" spans="1:14" ht="16.5" customHeight="1">
      <c r="A2018" s="3"/>
      <c r="B2018" s="3"/>
      <c r="C2018" s="3"/>
      <c r="D2018" s="3"/>
      <c r="E2018" s="3"/>
      <c r="F2018" s="3"/>
      <c r="G2018" s="3"/>
      <c r="H2018" s="3"/>
      <c r="I2018" s="3"/>
      <c r="J2018" s="3"/>
      <c r="K2018" s="3"/>
      <c r="L2018" s="3"/>
      <c r="M2018" s="3"/>
      <c r="N2018" s="3"/>
    </row>
    <row r="2019" spans="1:14" ht="16.5" customHeight="1">
      <c r="A2019" s="3"/>
      <c r="B2019" s="3"/>
      <c r="C2019" s="3"/>
      <c r="D2019" s="3"/>
      <c r="E2019" s="3"/>
      <c r="F2019" s="3"/>
      <c r="G2019" s="3"/>
      <c r="H2019" s="3"/>
      <c r="I2019" s="3"/>
      <c r="J2019" s="3"/>
      <c r="K2019" s="3"/>
      <c r="L2019" s="3"/>
      <c r="M2019" s="3"/>
      <c r="N2019" s="3"/>
    </row>
    <row r="2020" spans="1:14" ht="16.5" customHeight="1">
      <c r="A2020" s="3"/>
      <c r="B2020" s="3"/>
      <c r="C2020" s="3"/>
      <c r="D2020" s="3"/>
      <c r="E2020" s="3"/>
      <c r="F2020" s="3"/>
      <c r="G2020" s="3"/>
      <c r="H2020" s="3"/>
      <c r="I2020" s="3"/>
      <c r="J2020" s="3"/>
      <c r="K2020" s="3"/>
      <c r="L2020" s="3"/>
      <c r="M2020" s="3"/>
      <c r="N2020" s="3"/>
    </row>
    <row r="2021" spans="1:14" ht="16.5" customHeight="1">
      <c r="A2021" s="3"/>
      <c r="B2021" s="3"/>
      <c r="C2021" s="3"/>
      <c r="D2021" s="3"/>
      <c r="E2021" s="3"/>
      <c r="F2021" s="3"/>
      <c r="G2021" s="3"/>
      <c r="H2021" s="3"/>
      <c r="I2021" s="3"/>
      <c r="J2021" s="3"/>
      <c r="K2021" s="3"/>
      <c r="L2021" s="3"/>
      <c r="M2021" s="3"/>
      <c r="N2021" s="3"/>
    </row>
    <row r="2022" spans="1:14" ht="16.5" customHeight="1">
      <c r="A2022" s="3"/>
      <c r="B2022" s="3"/>
      <c r="C2022" s="3"/>
      <c r="D2022" s="3"/>
      <c r="E2022" s="3"/>
      <c r="F2022" s="3"/>
      <c r="G2022" s="3"/>
      <c r="H2022" s="3"/>
      <c r="I2022" s="3"/>
      <c r="J2022" s="3"/>
      <c r="K2022" s="3"/>
      <c r="L2022" s="3"/>
      <c r="M2022" s="3"/>
      <c r="N2022" s="3"/>
    </row>
    <row r="2023" spans="1:14" ht="16.5" customHeight="1">
      <c r="A2023" s="3"/>
      <c r="B2023" s="3"/>
      <c r="C2023" s="3"/>
      <c r="D2023" s="3"/>
      <c r="E2023" s="3"/>
      <c r="F2023" s="3"/>
      <c r="G2023" s="3"/>
      <c r="H2023" s="3"/>
      <c r="I2023" s="3"/>
      <c r="J2023" s="3"/>
      <c r="K2023" s="3"/>
      <c r="L2023" s="3"/>
      <c r="M2023" s="3"/>
      <c r="N2023" s="3"/>
    </row>
    <row r="2024" spans="1:14" ht="16.5" customHeight="1">
      <c r="A2024" s="3"/>
      <c r="B2024" s="3"/>
      <c r="C2024" s="3"/>
      <c r="D2024" s="3"/>
      <c r="E2024" s="3"/>
      <c r="F2024" s="3"/>
      <c r="G2024" s="3"/>
      <c r="H2024" s="3"/>
      <c r="I2024" s="3"/>
      <c r="J2024" s="3"/>
      <c r="K2024" s="3"/>
      <c r="L2024" s="3"/>
      <c r="M2024" s="3"/>
      <c r="N2024" s="3"/>
    </row>
    <row r="2025" spans="1:14" ht="16.5" customHeight="1">
      <c r="A2025" s="3"/>
      <c r="B2025" s="3"/>
      <c r="C2025" s="3"/>
      <c r="D2025" s="3"/>
      <c r="E2025" s="3"/>
      <c r="F2025" s="3"/>
      <c r="G2025" s="3"/>
      <c r="H2025" s="3"/>
      <c r="I2025" s="3"/>
      <c r="J2025" s="3"/>
      <c r="K2025" s="3"/>
      <c r="L2025" s="3"/>
      <c r="M2025" s="3"/>
      <c r="N2025" s="3"/>
    </row>
    <row r="2026" spans="1:14" ht="16.5" customHeight="1">
      <c r="A2026" s="3"/>
      <c r="B2026" s="3"/>
      <c r="C2026" s="3"/>
      <c r="D2026" s="3"/>
      <c r="E2026" s="3"/>
      <c r="F2026" s="3"/>
      <c r="G2026" s="3"/>
      <c r="H2026" s="3"/>
      <c r="I2026" s="3"/>
      <c r="J2026" s="3"/>
      <c r="K2026" s="3"/>
      <c r="L2026" s="3"/>
      <c r="M2026" s="3"/>
      <c r="N2026" s="3"/>
    </row>
    <row r="2027" spans="1:14" ht="16.5" customHeight="1">
      <c r="A2027" s="3"/>
      <c r="B2027" s="3"/>
      <c r="C2027" s="3"/>
      <c r="D2027" s="3"/>
      <c r="E2027" s="3"/>
      <c r="F2027" s="3"/>
      <c r="G2027" s="3"/>
      <c r="H2027" s="3"/>
      <c r="I2027" s="3"/>
      <c r="J2027" s="3"/>
      <c r="K2027" s="3"/>
      <c r="L2027" s="3"/>
      <c r="M2027" s="3"/>
      <c r="N2027" s="3"/>
    </row>
    <row r="2028" spans="1:14" ht="16.5" customHeight="1">
      <c r="A2028" s="3"/>
      <c r="B2028" s="3"/>
      <c r="C2028" s="3"/>
      <c r="D2028" s="3"/>
      <c r="E2028" s="3"/>
      <c r="F2028" s="3"/>
      <c r="G2028" s="3"/>
      <c r="H2028" s="3"/>
      <c r="I2028" s="3"/>
      <c r="J2028" s="3"/>
      <c r="K2028" s="3"/>
      <c r="L2028" s="3"/>
      <c r="M2028" s="3"/>
      <c r="N2028" s="3"/>
    </row>
    <row r="2029" spans="1:14" ht="16.5" customHeight="1">
      <c r="A2029" s="3"/>
      <c r="B2029" s="3"/>
      <c r="C2029" s="3"/>
      <c r="D2029" s="3"/>
      <c r="E2029" s="3"/>
      <c r="F2029" s="3"/>
      <c r="G2029" s="3"/>
      <c r="H2029" s="3"/>
      <c r="I2029" s="3"/>
      <c r="J2029" s="3"/>
      <c r="K2029" s="3"/>
      <c r="L2029" s="3"/>
      <c r="M2029" s="3"/>
      <c r="N2029" s="3"/>
    </row>
    <row r="2030" spans="1:14" ht="16.5" customHeight="1">
      <c r="A2030" s="3"/>
      <c r="B2030" s="3"/>
      <c r="C2030" s="3"/>
      <c r="D2030" s="3"/>
      <c r="E2030" s="3"/>
      <c r="F2030" s="3"/>
      <c r="G2030" s="3"/>
      <c r="H2030" s="3"/>
      <c r="I2030" s="3"/>
      <c r="J2030" s="3"/>
      <c r="K2030" s="3"/>
      <c r="L2030" s="3"/>
      <c r="M2030" s="3"/>
      <c r="N2030" s="3"/>
    </row>
    <row r="2031" spans="1:14" ht="16.5" customHeight="1">
      <c r="A2031" s="3"/>
      <c r="B2031" s="3"/>
      <c r="C2031" s="3"/>
      <c r="D2031" s="3"/>
      <c r="E2031" s="3"/>
      <c r="F2031" s="3"/>
      <c r="G2031" s="3"/>
      <c r="H2031" s="3"/>
      <c r="I2031" s="3"/>
      <c r="J2031" s="3"/>
      <c r="K2031" s="3"/>
      <c r="L2031" s="3"/>
      <c r="M2031" s="3"/>
      <c r="N2031" s="3"/>
    </row>
    <row r="2032" spans="1:14" ht="16.5" customHeight="1">
      <c r="A2032" s="3"/>
      <c r="B2032" s="3"/>
      <c r="C2032" s="3"/>
      <c r="D2032" s="3"/>
      <c r="E2032" s="3"/>
      <c r="F2032" s="3"/>
      <c r="G2032" s="3"/>
      <c r="H2032" s="3"/>
      <c r="I2032" s="3"/>
      <c r="J2032" s="3"/>
      <c r="K2032" s="3"/>
      <c r="L2032" s="3"/>
      <c r="M2032" s="3"/>
      <c r="N2032" s="3"/>
    </row>
    <row r="2033" spans="1:14" ht="16.5" customHeight="1">
      <c r="A2033" s="3"/>
      <c r="B2033" s="3"/>
      <c r="C2033" s="3"/>
      <c r="D2033" s="3"/>
      <c r="E2033" s="3"/>
      <c r="F2033" s="3"/>
      <c r="G2033" s="3"/>
      <c r="H2033" s="3"/>
      <c r="I2033" s="3"/>
      <c r="J2033" s="3"/>
      <c r="K2033" s="3"/>
      <c r="L2033" s="3"/>
      <c r="M2033" s="3"/>
      <c r="N2033" s="3"/>
    </row>
    <row r="2034" spans="1:14" ht="16.5" customHeight="1">
      <c r="A2034" s="3"/>
      <c r="B2034" s="3"/>
      <c r="C2034" s="3"/>
      <c r="D2034" s="3"/>
      <c r="E2034" s="3"/>
      <c r="F2034" s="3"/>
      <c r="G2034" s="3"/>
      <c r="H2034" s="3"/>
      <c r="I2034" s="3"/>
      <c r="J2034" s="3"/>
      <c r="K2034" s="3"/>
      <c r="L2034" s="3"/>
      <c r="M2034" s="3"/>
      <c r="N2034" s="3"/>
    </row>
    <row r="2035" spans="1:14" ht="16.5" customHeight="1">
      <c r="A2035" s="3"/>
      <c r="B2035" s="3"/>
      <c r="C2035" s="3"/>
      <c r="D2035" s="3"/>
      <c r="E2035" s="3"/>
      <c r="F2035" s="3"/>
      <c r="G2035" s="3"/>
      <c r="H2035" s="3"/>
      <c r="I2035" s="3"/>
      <c r="J2035" s="3"/>
      <c r="K2035" s="3"/>
      <c r="L2035" s="3"/>
      <c r="M2035" s="3"/>
      <c r="N2035" s="3"/>
    </row>
    <row r="2036" spans="1:14" ht="16.5" customHeight="1">
      <c r="A2036" s="3"/>
      <c r="B2036" s="3"/>
      <c r="C2036" s="3"/>
      <c r="D2036" s="3"/>
      <c r="E2036" s="3"/>
      <c r="F2036" s="3"/>
      <c r="G2036" s="3"/>
      <c r="H2036" s="3"/>
      <c r="I2036" s="3"/>
      <c r="J2036" s="3"/>
      <c r="K2036" s="3"/>
      <c r="L2036" s="3"/>
      <c r="M2036" s="3"/>
      <c r="N2036" s="3"/>
    </row>
    <row r="2037" spans="1:14" ht="16.5" customHeight="1">
      <c r="A2037" s="3"/>
      <c r="B2037" s="3"/>
      <c r="C2037" s="3"/>
      <c r="D2037" s="3"/>
      <c r="E2037" s="3"/>
      <c r="F2037" s="3"/>
      <c r="G2037" s="3"/>
      <c r="H2037" s="3"/>
      <c r="I2037" s="3"/>
      <c r="J2037" s="3"/>
      <c r="K2037" s="3"/>
      <c r="L2037" s="3"/>
      <c r="M2037" s="3"/>
      <c r="N2037" s="3"/>
    </row>
    <row r="2038" spans="1:14" ht="16.5" customHeight="1">
      <c r="A2038" s="3"/>
      <c r="B2038" s="3"/>
      <c r="C2038" s="3"/>
      <c r="D2038" s="3"/>
      <c r="E2038" s="3"/>
      <c r="F2038" s="3"/>
      <c r="G2038" s="3"/>
      <c r="H2038" s="3"/>
      <c r="I2038" s="3"/>
      <c r="J2038" s="3"/>
      <c r="K2038" s="3"/>
      <c r="L2038" s="3"/>
      <c r="M2038" s="3"/>
      <c r="N2038" s="3"/>
    </row>
    <row r="2039" spans="1:14" ht="16.5" customHeight="1">
      <c r="A2039" s="3"/>
      <c r="B2039" s="3"/>
      <c r="C2039" s="3"/>
      <c r="D2039" s="3"/>
      <c r="E2039" s="3"/>
      <c r="F2039" s="3"/>
      <c r="G2039" s="3"/>
      <c r="H2039" s="3"/>
      <c r="I2039" s="3"/>
      <c r="J2039" s="3"/>
      <c r="K2039" s="3"/>
      <c r="L2039" s="3"/>
      <c r="M2039" s="3"/>
      <c r="N2039" s="3"/>
    </row>
    <row r="2040" spans="1:14" ht="16.5" customHeight="1">
      <c r="A2040" s="3"/>
      <c r="B2040" s="3"/>
      <c r="C2040" s="3"/>
      <c r="D2040" s="3"/>
      <c r="E2040" s="3"/>
      <c r="F2040" s="3"/>
      <c r="G2040" s="3"/>
      <c r="H2040" s="3"/>
      <c r="I2040" s="3"/>
      <c r="J2040" s="3"/>
      <c r="K2040" s="3"/>
      <c r="L2040" s="3"/>
      <c r="M2040" s="3"/>
      <c r="N2040" s="3"/>
    </row>
    <row r="2041" spans="1:14" ht="16.5" customHeight="1">
      <c r="A2041" s="3"/>
      <c r="B2041" s="3"/>
      <c r="C2041" s="3"/>
      <c r="D2041" s="3"/>
      <c r="E2041" s="3"/>
      <c r="F2041" s="3"/>
      <c r="G2041" s="3"/>
      <c r="H2041" s="3"/>
      <c r="I2041" s="3"/>
      <c r="J2041" s="3"/>
      <c r="K2041" s="3"/>
      <c r="L2041" s="3"/>
      <c r="M2041" s="3"/>
      <c r="N2041" s="3"/>
    </row>
    <row r="2042" spans="1:14" ht="16.5" customHeight="1">
      <c r="A2042" s="3"/>
      <c r="B2042" s="3"/>
      <c r="C2042" s="3"/>
      <c r="D2042" s="3"/>
      <c r="E2042" s="3"/>
      <c r="F2042" s="3"/>
      <c r="G2042" s="3"/>
      <c r="H2042" s="3"/>
      <c r="I2042" s="3"/>
      <c r="J2042" s="3"/>
      <c r="K2042" s="3"/>
      <c r="L2042" s="3"/>
      <c r="M2042" s="3"/>
      <c r="N2042" s="3"/>
    </row>
    <row r="2043" spans="1:14" ht="16.5" customHeight="1">
      <c r="A2043" s="3"/>
      <c r="B2043" s="3"/>
      <c r="C2043" s="3"/>
      <c r="D2043" s="3"/>
      <c r="E2043" s="3"/>
      <c r="F2043" s="3"/>
      <c r="G2043" s="3"/>
      <c r="H2043" s="3"/>
      <c r="I2043" s="3"/>
      <c r="J2043" s="3"/>
      <c r="K2043" s="3"/>
      <c r="L2043" s="3"/>
      <c r="M2043" s="3"/>
      <c r="N2043" s="3"/>
    </row>
    <row r="2044" spans="1:14" ht="16.5" customHeight="1">
      <c r="A2044" s="3"/>
      <c r="B2044" s="3"/>
      <c r="C2044" s="3"/>
      <c r="D2044" s="3"/>
      <c r="E2044" s="3"/>
      <c r="F2044" s="3"/>
      <c r="G2044" s="3"/>
      <c r="H2044" s="3"/>
      <c r="I2044" s="3"/>
      <c r="J2044" s="3"/>
      <c r="K2044" s="3"/>
      <c r="L2044" s="3"/>
      <c r="M2044" s="3"/>
      <c r="N2044" s="3"/>
    </row>
    <row r="2045" spans="1:14" ht="16.5" customHeight="1">
      <c r="A2045" s="3"/>
      <c r="B2045" s="3"/>
      <c r="C2045" s="3"/>
      <c r="D2045" s="3"/>
      <c r="E2045" s="3"/>
      <c r="F2045" s="3"/>
      <c r="G2045" s="3"/>
      <c r="H2045" s="3"/>
      <c r="I2045" s="3"/>
      <c r="J2045" s="3"/>
      <c r="K2045" s="3"/>
      <c r="L2045" s="3"/>
      <c r="M2045" s="3"/>
      <c r="N2045" s="3"/>
    </row>
    <row r="2046" spans="1:14" ht="16.5" customHeight="1">
      <c r="A2046" s="3"/>
      <c r="B2046" s="3"/>
      <c r="C2046" s="3"/>
      <c r="D2046" s="3"/>
      <c r="E2046" s="3"/>
      <c r="F2046" s="3"/>
      <c r="G2046" s="3"/>
      <c r="H2046" s="3"/>
      <c r="I2046" s="3"/>
      <c r="J2046" s="3"/>
      <c r="K2046" s="3"/>
      <c r="L2046" s="3"/>
      <c r="M2046" s="3"/>
      <c r="N2046" s="3"/>
    </row>
    <row r="2047" spans="1:14" ht="16.5" customHeight="1">
      <c r="A2047" s="3"/>
      <c r="B2047" s="3"/>
      <c r="C2047" s="3"/>
      <c r="D2047" s="3"/>
      <c r="E2047" s="3"/>
      <c r="F2047" s="3"/>
      <c r="G2047" s="3"/>
      <c r="H2047" s="3"/>
      <c r="I2047" s="3"/>
      <c r="J2047" s="3"/>
      <c r="K2047" s="3"/>
      <c r="L2047" s="3"/>
      <c r="M2047" s="3"/>
      <c r="N2047" s="3"/>
    </row>
    <row r="2048" spans="1:14" ht="16.5" customHeight="1">
      <c r="A2048" s="3"/>
      <c r="B2048" s="3"/>
      <c r="C2048" s="3"/>
      <c r="D2048" s="3"/>
      <c r="E2048" s="3"/>
      <c r="F2048" s="3"/>
      <c r="G2048" s="3"/>
      <c r="H2048" s="3"/>
      <c r="I2048" s="3"/>
      <c r="J2048" s="3"/>
      <c r="K2048" s="3"/>
      <c r="L2048" s="3"/>
      <c r="M2048" s="3"/>
      <c r="N2048" s="3"/>
    </row>
    <row r="2049" spans="1:14" ht="16.5" customHeight="1">
      <c r="A2049" s="3"/>
      <c r="B2049" s="3"/>
      <c r="C2049" s="3"/>
      <c r="D2049" s="3"/>
      <c r="E2049" s="3"/>
      <c r="F2049" s="3"/>
      <c r="G2049" s="3"/>
      <c r="H2049" s="3"/>
      <c r="I2049" s="3"/>
      <c r="J2049" s="3"/>
      <c r="K2049" s="3"/>
      <c r="L2049" s="3"/>
      <c r="M2049" s="3"/>
      <c r="N2049" s="3"/>
    </row>
    <row r="2050" spans="1:14" ht="16.5" customHeight="1">
      <c r="A2050" s="3"/>
      <c r="B2050" s="3"/>
      <c r="C2050" s="3"/>
      <c r="D2050" s="3"/>
      <c r="E2050" s="3"/>
      <c r="F2050" s="3"/>
      <c r="G2050" s="3"/>
      <c r="H2050" s="3"/>
      <c r="I2050" s="3"/>
      <c r="J2050" s="3"/>
      <c r="K2050" s="3"/>
      <c r="L2050" s="3"/>
      <c r="M2050" s="3"/>
      <c r="N2050" s="3"/>
    </row>
    <row r="2051" spans="1:14" ht="16.5" customHeight="1">
      <c r="A2051" s="3"/>
      <c r="B2051" s="3"/>
      <c r="C2051" s="3"/>
      <c r="D2051" s="3"/>
      <c r="E2051" s="3"/>
      <c r="F2051" s="3"/>
      <c r="G2051" s="3"/>
      <c r="H2051" s="3"/>
      <c r="I2051" s="3"/>
      <c r="J2051" s="3"/>
      <c r="K2051" s="3"/>
      <c r="L2051" s="3"/>
      <c r="M2051" s="3"/>
      <c r="N2051" s="3"/>
    </row>
    <row r="2052" spans="1:14" ht="16.5" customHeight="1">
      <c r="A2052" s="3"/>
      <c r="B2052" s="3"/>
      <c r="C2052" s="3"/>
      <c r="D2052" s="3"/>
      <c r="E2052" s="3"/>
      <c r="F2052" s="3"/>
      <c r="G2052" s="3"/>
      <c r="H2052" s="3"/>
      <c r="I2052" s="3"/>
      <c r="J2052" s="3"/>
      <c r="K2052" s="3"/>
      <c r="L2052" s="3"/>
      <c r="M2052" s="3"/>
      <c r="N2052" s="3"/>
    </row>
    <row r="2053" spans="1:14" ht="16.5" customHeight="1">
      <c r="A2053" s="3"/>
      <c r="B2053" s="3"/>
      <c r="C2053" s="3"/>
      <c r="D2053" s="3"/>
      <c r="E2053" s="3"/>
      <c r="F2053" s="3"/>
      <c r="G2053" s="3"/>
      <c r="H2053" s="3"/>
      <c r="I2053" s="3"/>
      <c r="J2053" s="3"/>
      <c r="K2053" s="3"/>
      <c r="L2053" s="3"/>
      <c r="M2053" s="3"/>
      <c r="N2053" s="3"/>
    </row>
    <row r="2054" spans="1:14" ht="16.5" customHeight="1">
      <c r="A2054" s="3"/>
      <c r="B2054" s="3"/>
      <c r="C2054" s="3"/>
      <c r="D2054" s="3"/>
      <c r="E2054" s="3"/>
      <c r="F2054" s="3"/>
      <c r="G2054" s="3"/>
      <c r="H2054" s="3"/>
      <c r="I2054" s="3"/>
      <c r="J2054" s="3"/>
      <c r="K2054" s="3"/>
      <c r="L2054" s="3"/>
      <c r="M2054" s="3"/>
      <c r="N2054" s="3"/>
    </row>
    <row r="2055" spans="1:14" ht="16.5" customHeight="1">
      <c r="A2055" s="3"/>
      <c r="B2055" s="3"/>
      <c r="C2055" s="3"/>
      <c r="D2055" s="3"/>
      <c r="E2055" s="3"/>
      <c r="F2055" s="3"/>
      <c r="G2055" s="3"/>
      <c r="H2055" s="3"/>
      <c r="I2055" s="3"/>
      <c r="J2055" s="3"/>
      <c r="K2055" s="3"/>
      <c r="L2055" s="3"/>
      <c r="M2055" s="3"/>
      <c r="N2055" s="3"/>
    </row>
    <row r="2056" spans="1:14" ht="16.5" customHeight="1">
      <c r="A2056" s="3"/>
      <c r="B2056" s="3"/>
      <c r="C2056" s="3"/>
      <c r="D2056" s="3"/>
      <c r="E2056" s="3"/>
      <c r="F2056" s="3"/>
      <c r="G2056" s="3"/>
      <c r="H2056" s="3"/>
      <c r="I2056" s="3"/>
      <c r="J2056" s="3"/>
      <c r="K2056" s="3"/>
      <c r="L2056" s="3"/>
      <c r="M2056" s="3"/>
      <c r="N2056" s="3"/>
    </row>
    <row r="2057" spans="1:14" ht="16.5" customHeight="1">
      <c r="A2057" s="3"/>
      <c r="B2057" s="3"/>
      <c r="C2057" s="3"/>
      <c r="D2057" s="3"/>
      <c r="E2057" s="3"/>
      <c r="F2057" s="3"/>
      <c r="G2057" s="3"/>
      <c r="H2057" s="3"/>
      <c r="I2057" s="3"/>
      <c r="J2057" s="3"/>
      <c r="K2057" s="3"/>
      <c r="L2057" s="3"/>
      <c r="M2057" s="3"/>
      <c r="N2057" s="3"/>
    </row>
    <row r="2058" spans="1:14" ht="16.5" customHeight="1">
      <c r="A2058" s="3"/>
      <c r="B2058" s="3"/>
      <c r="C2058" s="3"/>
      <c r="D2058" s="3"/>
      <c r="E2058" s="3"/>
      <c r="F2058" s="3"/>
      <c r="G2058" s="3"/>
      <c r="H2058" s="3"/>
      <c r="I2058" s="3"/>
      <c r="J2058" s="3"/>
      <c r="K2058" s="3"/>
      <c r="L2058" s="3"/>
      <c r="M2058" s="3"/>
      <c r="N2058" s="3"/>
    </row>
    <row r="2059" spans="1:14" ht="16.5" customHeight="1">
      <c r="A2059" s="3"/>
      <c r="B2059" s="3"/>
      <c r="C2059" s="3"/>
      <c r="D2059" s="3"/>
      <c r="E2059" s="3"/>
      <c r="F2059" s="3"/>
      <c r="G2059" s="3"/>
      <c r="H2059" s="3"/>
      <c r="I2059" s="3"/>
      <c r="J2059" s="3"/>
      <c r="K2059" s="3"/>
      <c r="L2059" s="3"/>
      <c r="M2059" s="3"/>
      <c r="N2059" s="3"/>
    </row>
    <row r="2060" spans="1:14" ht="16.5" customHeight="1">
      <c r="A2060" s="3"/>
      <c r="B2060" s="3"/>
      <c r="C2060" s="3"/>
      <c r="D2060" s="3"/>
      <c r="E2060" s="3"/>
      <c r="F2060" s="3"/>
      <c r="G2060" s="3"/>
      <c r="H2060" s="3"/>
      <c r="I2060" s="3"/>
      <c r="J2060" s="3"/>
      <c r="K2060" s="3"/>
      <c r="L2060" s="3"/>
      <c r="M2060" s="3"/>
      <c r="N2060" s="3"/>
    </row>
    <row r="2061" spans="1:14" ht="16.5" customHeight="1">
      <c r="A2061" s="3"/>
      <c r="B2061" s="3"/>
      <c r="C2061" s="3"/>
      <c r="D2061" s="3"/>
      <c r="E2061" s="3"/>
      <c r="F2061" s="3"/>
      <c r="G2061" s="3"/>
      <c r="H2061" s="3"/>
      <c r="I2061" s="3"/>
      <c r="J2061" s="3"/>
      <c r="K2061" s="3"/>
      <c r="L2061" s="3"/>
      <c r="M2061" s="3"/>
      <c r="N2061" s="3"/>
    </row>
    <row r="2062" spans="1:14" ht="16.5" customHeight="1">
      <c r="A2062" s="3"/>
      <c r="B2062" s="3"/>
      <c r="C2062" s="3"/>
      <c r="D2062" s="3"/>
      <c r="E2062" s="3"/>
      <c r="F2062" s="3"/>
      <c r="G2062" s="3"/>
      <c r="H2062" s="3"/>
      <c r="I2062" s="3"/>
      <c r="J2062" s="3"/>
      <c r="K2062" s="3"/>
      <c r="L2062" s="3"/>
      <c r="M2062" s="3"/>
      <c r="N2062" s="3"/>
    </row>
    <row r="2063" spans="1:14" ht="16.5" customHeight="1">
      <c r="A2063" s="3"/>
      <c r="B2063" s="3"/>
      <c r="C2063" s="3"/>
      <c r="D2063" s="3"/>
      <c r="E2063" s="3"/>
      <c r="F2063" s="3"/>
      <c r="G2063" s="3"/>
      <c r="H2063" s="3"/>
      <c r="I2063" s="3"/>
      <c r="J2063" s="3"/>
      <c r="K2063" s="3"/>
      <c r="L2063" s="3"/>
      <c r="M2063" s="3"/>
      <c r="N2063" s="3"/>
    </row>
    <row r="2064" spans="1:14" ht="16.5" customHeight="1">
      <c r="A2064" s="3"/>
      <c r="B2064" s="3"/>
      <c r="C2064" s="3"/>
      <c r="D2064" s="3"/>
      <c r="E2064" s="3"/>
      <c r="F2064" s="3"/>
      <c r="G2064" s="3"/>
      <c r="H2064" s="3"/>
      <c r="I2064" s="3"/>
      <c r="J2064" s="3"/>
      <c r="K2064" s="3"/>
      <c r="L2064" s="3"/>
      <c r="M2064" s="3"/>
      <c r="N2064" s="3"/>
    </row>
    <row r="2065" spans="1:14" ht="16.5" customHeight="1">
      <c r="A2065" s="3"/>
      <c r="B2065" s="3"/>
      <c r="C2065" s="3"/>
      <c r="D2065" s="3"/>
      <c r="E2065" s="3"/>
      <c r="F2065" s="3"/>
      <c r="G2065" s="3"/>
      <c r="H2065" s="3"/>
      <c r="I2065" s="3"/>
      <c r="J2065" s="3"/>
      <c r="K2065" s="3"/>
      <c r="L2065" s="3"/>
      <c r="M2065" s="3"/>
      <c r="N2065" s="3"/>
    </row>
    <row r="2066" spans="1:14" ht="16.5" customHeight="1">
      <c r="A2066" s="3"/>
      <c r="B2066" s="3"/>
      <c r="C2066" s="3"/>
      <c r="D2066" s="3"/>
      <c r="E2066" s="3"/>
      <c r="F2066" s="3"/>
      <c r="G2066" s="3"/>
      <c r="H2066" s="3"/>
      <c r="I2066" s="3"/>
      <c r="J2066" s="3"/>
      <c r="K2066" s="3"/>
      <c r="L2066" s="3"/>
      <c r="M2066" s="3"/>
      <c r="N2066" s="3"/>
    </row>
    <row r="2067" spans="1:14" ht="16.5" customHeight="1">
      <c r="A2067" s="3"/>
      <c r="B2067" s="3"/>
      <c r="C2067" s="3"/>
      <c r="D2067" s="3"/>
      <c r="E2067" s="3"/>
      <c r="F2067" s="3"/>
      <c r="G2067" s="3"/>
      <c r="H2067" s="3"/>
      <c r="I2067" s="3"/>
      <c r="J2067" s="3"/>
      <c r="K2067" s="3"/>
      <c r="L2067" s="3"/>
      <c r="M2067" s="3"/>
      <c r="N2067" s="3"/>
    </row>
    <row r="2068" spans="1:14" ht="16.5" customHeight="1">
      <c r="A2068" s="3"/>
      <c r="B2068" s="3"/>
      <c r="C2068" s="3"/>
      <c r="D2068" s="3"/>
      <c r="E2068" s="3"/>
      <c r="F2068" s="3"/>
      <c r="G2068" s="3"/>
      <c r="H2068" s="3"/>
      <c r="I2068" s="3"/>
      <c r="J2068" s="3"/>
      <c r="K2068" s="3"/>
      <c r="L2068" s="3"/>
      <c r="M2068" s="3"/>
      <c r="N2068" s="3"/>
    </row>
    <row r="2069" spans="1:14" ht="16.5" customHeight="1">
      <c r="A2069" s="3"/>
      <c r="B2069" s="3"/>
      <c r="C2069" s="3"/>
      <c r="D2069" s="3"/>
      <c r="E2069" s="3"/>
      <c r="F2069" s="3"/>
      <c r="G2069" s="3"/>
      <c r="H2069" s="3"/>
      <c r="I2069" s="3"/>
      <c r="J2069" s="3"/>
      <c r="K2069" s="3"/>
      <c r="L2069" s="3"/>
      <c r="M2069" s="3"/>
      <c r="N2069" s="3"/>
    </row>
    <row r="2070" spans="1:14" ht="16.5" customHeight="1">
      <c r="A2070" s="3"/>
      <c r="B2070" s="3"/>
      <c r="C2070" s="3"/>
      <c r="D2070" s="3"/>
      <c r="E2070" s="3"/>
      <c r="F2070" s="3"/>
      <c r="G2070" s="3"/>
      <c r="H2070" s="3"/>
      <c r="I2070" s="3"/>
      <c r="J2070" s="3"/>
      <c r="K2070" s="3"/>
      <c r="L2070" s="3"/>
      <c r="M2070" s="3"/>
      <c r="N2070" s="3"/>
    </row>
    <row r="2071" spans="1:14" ht="16.5" customHeight="1">
      <c r="A2071" s="3"/>
      <c r="B2071" s="3"/>
      <c r="C2071" s="3"/>
      <c r="D2071" s="3"/>
      <c r="E2071" s="3"/>
      <c r="F2071" s="3"/>
      <c r="G2071" s="3"/>
      <c r="H2071" s="3"/>
      <c r="I2071" s="3"/>
      <c r="J2071" s="3"/>
      <c r="K2071" s="3"/>
      <c r="L2071" s="3"/>
      <c r="M2071" s="3"/>
      <c r="N2071" s="3"/>
    </row>
    <row r="2072" spans="1:14" ht="16.5" customHeight="1">
      <c r="A2072" s="3"/>
      <c r="B2072" s="3"/>
      <c r="C2072" s="3"/>
      <c r="D2072" s="3"/>
      <c r="E2072" s="3"/>
      <c r="F2072" s="3"/>
      <c r="G2072" s="3"/>
      <c r="H2072" s="3"/>
      <c r="I2072" s="3"/>
      <c r="J2072" s="3"/>
      <c r="K2072" s="3"/>
      <c r="L2072" s="3"/>
      <c r="M2072" s="3"/>
      <c r="N2072" s="3"/>
    </row>
    <row r="2073" spans="1:14" ht="16.5" customHeight="1">
      <c r="A2073" s="3"/>
      <c r="B2073" s="3"/>
      <c r="C2073" s="3"/>
      <c r="D2073" s="3"/>
      <c r="E2073" s="3"/>
      <c r="F2073" s="3"/>
      <c r="G2073" s="3"/>
      <c r="H2073" s="3"/>
      <c r="I2073" s="3"/>
      <c r="J2073" s="3"/>
      <c r="K2073" s="3"/>
      <c r="L2073" s="3"/>
      <c r="M2073" s="3"/>
      <c r="N2073" s="3"/>
    </row>
    <row r="2074" spans="1:14" ht="16.5" customHeight="1">
      <c r="A2074" s="3"/>
      <c r="B2074" s="3"/>
      <c r="C2074" s="3"/>
      <c r="D2074" s="3"/>
      <c r="E2074" s="3"/>
      <c r="F2074" s="3"/>
      <c r="G2074" s="3"/>
      <c r="H2074" s="3"/>
      <c r="I2074" s="3"/>
      <c r="J2074" s="3"/>
      <c r="K2074" s="3"/>
      <c r="L2074" s="3"/>
      <c r="M2074" s="3"/>
      <c r="N2074" s="3"/>
    </row>
    <row r="2075" spans="1:14" ht="16.5" customHeight="1">
      <c r="A2075" s="3"/>
      <c r="B2075" s="3"/>
      <c r="C2075" s="3"/>
      <c r="D2075" s="3"/>
      <c r="E2075" s="3"/>
      <c r="F2075" s="3"/>
      <c r="G2075" s="3"/>
      <c r="H2075" s="3"/>
      <c r="I2075" s="3"/>
      <c r="J2075" s="3"/>
      <c r="K2075" s="3"/>
      <c r="L2075" s="3"/>
      <c r="M2075" s="3"/>
      <c r="N2075" s="3"/>
    </row>
    <row r="2076" spans="1:14" ht="16.5" customHeight="1">
      <c r="A2076" s="3"/>
      <c r="B2076" s="3"/>
      <c r="C2076" s="3"/>
      <c r="D2076" s="3"/>
      <c r="E2076" s="3"/>
      <c r="F2076" s="3"/>
      <c r="G2076" s="3"/>
      <c r="H2076" s="3"/>
      <c r="I2076" s="3"/>
      <c r="J2076" s="3"/>
      <c r="K2076" s="3"/>
      <c r="L2076" s="3"/>
      <c r="M2076" s="3"/>
      <c r="N2076" s="3"/>
    </row>
    <row r="2077" spans="1:14" ht="16.5" customHeight="1">
      <c r="A2077" s="3"/>
      <c r="B2077" s="3"/>
      <c r="C2077" s="3"/>
      <c r="D2077" s="3"/>
      <c r="E2077" s="3"/>
      <c r="F2077" s="3"/>
      <c r="G2077" s="3"/>
      <c r="H2077" s="3"/>
      <c r="I2077" s="3"/>
      <c r="J2077" s="3"/>
      <c r="K2077" s="3"/>
      <c r="L2077" s="3"/>
      <c r="M2077" s="3"/>
      <c r="N2077" s="3"/>
    </row>
    <row r="2078" spans="1:14" ht="16.5" customHeight="1">
      <c r="A2078" s="3"/>
      <c r="B2078" s="3"/>
      <c r="C2078" s="3"/>
      <c r="D2078" s="3"/>
      <c r="E2078" s="3"/>
      <c r="F2078" s="3"/>
      <c r="G2078" s="3"/>
      <c r="H2078" s="3"/>
      <c r="I2078" s="3"/>
      <c r="J2078" s="3"/>
      <c r="K2078" s="3"/>
      <c r="L2078" s="3"/>
      <c r="M2078" s="3"/>
      <c r="N2078" s="3"/>
    </row>
    <row r="2079" spans="1:14" ht="16.5" customHeight="1">
      <c r="A2079" s="3"/>
      <c r="B2079" s="3"/>
      <c r="C2079" s="3"/>
      <c r="D2079" s="3"/>
      <c r="E2079" s="3"/>
      <c r="F2079" s="3"/>
      <c r="G2079" s="3"/>
      <c r="H2079" s="3"/>
      <c r="I2079" s="3"/>
      <c r="J2079" s="3"/>
      <c r="K2079" s="3"/>
      <c r="L2079" s="3"/>
      <c r="M2079" s="3"/>
      <c r="N2079" s="3"/>
    </row>
    <row r="2080" spans="1:14" ht="16.5" customHeight="1">
      <c r="A2080" s="3"/>
      <c r="B2080" s="3"/>
      <c r="C2080" s="3"/>
      <c r="D2080" s="3"/>
      <c r="E2080" s="3"/>
      <c r="F2080" s="3"/>
      <c r="G2080" s="3"/>
      <c r="H2080" s="3"/>
      <c r="I2080" s="3"/>
      <c r="J2080" s="3"/>
      <c r="K2080" s="3"/>
      <c r="L2080" s="3"/>
      <c r="M2080" s="3"/>
      <c r="N2080" s="3"/>
    </row>
    <row r="2081" spans="1:14" ht="16.5" customHeight="1">
      <c r="A2081" s="3"/>
      <c r="B2081" s="3"/>
      <c r="C2081" s="3"/>
      <c r="D2081" s="3"/>
      <c r="E2081" s="3"/>
      <c r="F2081" s="3"/>
      <c r="G2081" s="3"/>
      <c r="H2081" s="3"/>
      <c r="I2081" s="3"/>
      <c r="J2081" s="3"/>
      <c r="K2081" s="3"/>
      <c r="L2081" s="3"/>
      <c r="M2081" s="3"/>
      <c r="N2081" s="3"/>
    </row>
    <row r="2082" spans="1:14" ht="16.5" customHeight="1">
      <c r="A2082" s="3"/>
      <c r="B2082" s="3"/>
      <c r="C2082" s="3"/>
      <c r="D2082" s="3"/>
      <c r="E2082" s="3"/>
      <c r="F2082" s="3"/>
      <c r="G2082" s="3"/>
      <c r="H2082" s="3"/>
      <c r="I2082" s="3"/>
      <c r="J2082" s="3"/>
      <c r="K2082" s="3"/>
      <c r="L2082" s="3"/>
      <c r="M2082" s="3"/>
      <c r="N2082" s="3"/>
    </row>
    <row r="2083" spans="1:14" ht="16.5" customHeight="1">
      <c r="A2083" s="3"/>
      <c r="B2083" s="3"/>
      <c r="C2083" s="3"/>
      <c r="D2083" s="3"/>
      <c r="E2083" s="3"/>
      <c r="F2083" s="3"/>
      <c r="G2083" s="3"/>
      <c r="H2083" s="3"/>
      <c r="I2083" s="3"/>
      <c r="J2083" s="3"/>
      <c r="K2083" s="3"/>
      <c r="L2083" s="3"/>
      <c r="M2083" s="3"/>
      <c r="N2083" s="3"/>
    </row>
    <row r="2084" spans="1:14" ht="16.5" customHeight="1">
      <c r="A2084" s="3"/>
      <c r="B2084" s="3"/>
      <c r="C2084" s="3"/>
      <c r="D2084" s="3"/>
      <c r="E2084" s="3"/>
      <c r="F2084" s="3"/>
      <c r="G2084" s="3"/>
      <c r="H2084" s="3"/>
      <c r="I2084" s="3"/>
      <c r="J2084" s="3"/>
      <c r="K2084" s="3"/>
      <c r="L2084" s="3"/>
      <c r="M2084" s="3"/>
      <c r="N2084" s="3"/>
    </row>
    <row r="2085" spans="1:14" ht="16.5" customHeight="1">
      <c r="A2085" s="3"/>
      <c r="B2085" s="3"/>
      <c r="C2085" s="3"/>
      <c r="D2085" s="3"/>
      <c r="E2085" s="3"/>
      <c r="F2085" s="3"/>
      <c r="G2085" s="3"/>
      <c r="H2085" s="3"/>
      <c r="I2085" s="3"/>
      <c r="J2085" s="3"/>
      <c r="K2085" s="3"/>
      <c r="L2085" s="3"/>
      <c r="M2085" s="3"/>
      <c r="N2085" s="3"/>
    </row>
    <row r="2086" spans="1:14" ht="16.5" customHeight="1">
      <c r="A2086" s="3"/>
      <c r="B2086" s="3"/>
      <c r="C2086" s="3"/>
      <c r="D2086" s="3"/>
      <c r="E2086" s="3"/>
      <c r="F2086" s="3"/>
      <c r="G2086" s="3"/>
      <c r="H2086" s="3"/>
      <c r="I2086" s="3"/>
      <c r="J2086" s="3"/>
      <c r="K2086" s="3"/>
      <c r="L2086" s="3"/>
      <c r="M2086" s="3"/>
      <c r="N2086" s="3"/>
    </row>
    <row r="2087" spans="1:14" ht="16.5" customHeight="1">
      <c r="A2087" s="3"/>
      <c r="B2087" s="3"/>
      <c r="C2087" s="3"/>
      <c r="D2087" s="3"/>
      <c r="E2087" s="3"/>
      <c r="F2087" s="3"/>
      <c r="G2087" s="3"/>
      <c r="H2087" s="3"/>
      <c r="I2087" s="3"/>
      <c r="J2087" s="3"/>
      <c r="K2087" s="3"/>
      <c r="L2087" s="3"/>
      <c r="M2087" s="3"/>
      <c r="N2087" s="3"/>
    </row>
    <row r="2088" spans="1:14" ht="16.5" customHeight="1">
      <c r="A2088" s="3"/>
      <c r="B2088" s="3"/>
      <c r="C2088" s="3"/>
      <c r="D2088" s="3"/>
      <c r="E2088" s="3"/>
      <c r="F2088" s="3"/>
      <c r="G2088" s="3"/>
      <c r="H2088" s="3"/>
      <c r="I2088" s="3"/>
      <c r="J2088" s="3"/>
      <c r="K2088" s="3"/>
      <c r="L2088" s="3"/>
      <c r="M2088" s="3"/>
      <c r="N2088" s="3"/>
    </row>
    <row r="2089" spans="1:14" ht="16.5" customHeight="1">
      <c r="A2089" s="3"/>
      <c r="B2089" s="3"/>
      <c r="C2089" s="3"/>
      <c r="D2089" s="3"/>
      <c r="E2089" s="3"/>
      <c r="F2089" s="3"/>
      <c r="G2089" s="3"/>
      <c r="H2089" s="3"/>
      <c r="I2089" s="3"/>
      <c r="J2089" s="3"/>
      <c r="K2089" s="3"/>
      <c r="L2089" s="3"/>
      <c r="M2089" s="3"/>
      <c r="N2089" s="3"/>
    </row>
    <row r="2090" spans="1:14" ht="16.5" customHeight="1">
      <c r="A2090" s="3"/>
      <c r="B2090" s="3"/>
      <c r="C2090" s="3"/>
      <c r="D2090" s="3"/>
      <c r="E2090" s="3"/>
      <c r="F2090" s="3"/>
      <c r="G2090" s="3"/>
      <c r="H2090" s="3"/>
      <c r="I2090" s="3"/>
      <c r="J2090" s="3"/>
      <c r="K2090" s="3"/>
      <c r="L2090" s="3"/>
      <c r="M2090" s="3"/>
      <c r="N2090" s="3"/>
    </row>
    <row r="2091" spans="1:14" ht="16.5" customHeight="1">
      <c r="A2091" s="3"/>
      <c r="B2091" s="3"/>
      <c r="C2091" s="3"/>
      <c r="D2091" s="3"/>
      <c r="E2091" s="3"/>
      <c r="F2091" s="3"/>
      <c r="G2091" s="3"/>
      <c r="H2091" s="3"/>
      <c r="I2091" s="3"/>
      <c r="J2091" s="3"/>
      <c r="K2091" s="3"/>
      <c r="L2091" s="3"/>
      <c r="M2091" s="3"/>
      <c r="N2091" s="3"/>
    </row>
    <row r="2092" spans="1:14" ht="16.5" customHeight="1">
      <c r="A2092" s="3"/>
      <c r="B2092" s="3"/>
      <c r="C2092" s="3"/>
      <c r="D2092" s="3"/>
      <c r="E2092" s="3"/>
      <c r="F2092" s="3"/>
      <c r="G2092" s="3"/>
      <c r="H2092" s="3"/>
      <c r="I2092" s="3"/>
      <c r="J2092" s="3"/>
      <c r="K2092" s="3"/>
      <c r="L2092" s="3"/>
      <c r="M2092" s="3"/>
      <c r="N2092" s="3"/>
    </row>
    <row r="2093" spans="1:14" ht="16.5" customHeight="1">
      <c r="A2093" s="3"/>
      <c r="B2093" s="3"/>
      <c r="C2093" s="3"/>
      <c r="D2093" s="3"/>
      <c r="E2093" s="3"/>
      <c r="F2093" s="3"/>
      <c r="G2093" s="3"/>
      <c r="H2093" s="3"/>
      <c r="I2093" s="3"/>
      <c r="J2093" s="3"/>
      <c r="K2093" s="3"/>
      <c r="L2093" s="3"/>
      <c r="M2093" s="3"/>
      <c r="N2093" s="3"/>
    </row>
    <row r="2094" spans="1:14" ht="16.5" customHeight="1">
      <c r="A2094" s="3"/>
      <c r="B2094" s="3"/>
      <c r="C2094" s="3"/>
      <c r="D2094" s="3"/>
      <c r="E2094" s="3"/>
      <c r="F2094" s="3"/>
      <c r="G2094" s="3"/>
      <c r="H2094" s="3"/>
      <c r="I2094" s="3"/>
      <c r="J2094" s="3"/>
      <c r="K2094" s="3"/>
      <c r="L2094" s="3"/>
      <c r="M2094" s="3"/>
      <c r="N2094" s="3"/>
    </row>
    <row r="2095" spans="1:14" ht="16.5" customHeight="1">
      <c r="A2095" s="3"/>
      <c r="B2095" s="3"/>
      <c r="C2095" s="3"/>
      <c r="D2095" s="3"/>
      <c r="E2095" s="3"/>
      <c r="F2095" s="3"/>
      <c r="G2095" s="3"/>
      <c r="H2095" s="3"/>
      <c r="I2095" s="3"/>
      <c r="J2095" s="3"/>
      <c r="K2095" s="3"/>
      <c r="L2095" s="3"/>
      <c r="M2095" s="3"/>
      <c r="N2095" s="3"/>
    </row>
    <row r="2096" spans="1:14" ht="16.5" customHeight="1">
      <c r="A2096" s="3"/>
      <c r="B2096" s="3"/>
      <c r="C2096" s="3"/>
      <c r="D2096" s="3"/>
      <c r="E2096" s="3"/>
      <c r="F2096" s="3"/>
      <c r="G2096" s="3"/>
      <c r="H2096" s="3"/>
      <c r="I2096" s="3"/>
      <c r="J2096" s="3"/>
      <c r="K2096" s="3"/>
      <c r="L2096" s="3"/>
      <c r="M2096" s="3"/>
      <c r="N2096" s="3"/>
    </row>
    <row r="2097" spans="1:14" ht="16.5" customHeight="1">
      <c r="A2097" s="3"/>
      <c r="B2097" s="3"/>
      <c r="C2097" s="3"/>
      <c r="D2097" s="3"/>
      <c r="E2097" s="3"/>
      <c r="F2097" s="3"/>
      <c r="G2097" s="3"/>
      <c r="H2097" s="3"/>
      <c r="I2097" s="3"/>
      <c r="J2097" s="3"/>
      <c r="K2097" s="3"/>
      <c r="L2097" s="3"/>
      <c r="M2097" s="3"/>
      <c r="N2097" s="3"/>
    </row>
    <row r="2098" spans="1:14" ht="16.5" customHeight="1">
      <c r="A2098" s="3"/>
      <c r="B2098" s="3"/>
      <c r="C2098" s="3"/>
      <c r="D2098" s="3"/>
      <c r="E2098" s="3"/>
      <c r="F2098" s="3"/>
      <c r="G2098" s="3"/>
      <c r="H2098" s="3"/>
      <c r="I2098" s="3"/>
      <c r="J2098" s="3"/>
      <c r="K2098" s="3"/>
      <c r="L2098" s="3"/>
      <c r="M2098" s="3"/>
      <c r="N2098" s="3"/>
    </row>
    <row r="2099" spans="1:14" ht="16.5" customHeight="1">
      <c r="A2099" s="3"/>
      <c r="B2099" s="3"/>
      <c r="C2099" s="3"/>
      <c r="D2099" s="3"/>
      <c r="E2099" s="3"/>
      <c r="F2099" s="3"/>
      <c r="G2099" s="3"/>
      <c r="H2099" s="3"/>
      <c r="I2099" s="3"/>
      <c r="J2099" s="3"/>
      <c r="K2099" s="3"/>
      <c r="L2099" s="3"/>
      <c r="M2099" s="3"/>
      <c r="N2099" s="3"/>
    </row>
    <row r="2100" spans="1:14" ht="16.5" customHeight="1">
      <c r="A2100" s="3"/>
      <c r="B2100" s="3"/>
      <c r="C2100" s="3"/>
      <c r="D2100" s="3"/>
      <c r="E2100" s="3"/>
      <c r="F2100" s="3"/>
      <c r="G2100" s="3"/>
      <c r="H2100" s="3"/>
      <c r="I2100" s="3"/>
      <c r="J2100" s="3"/>
      <c r="K2100" s="3"/>
      <c r="L2100" s="3"/>
      <c r="M2100" s="3"/>
      <c r="N2100" s="3"/>
    </row>
    <row r="2101" spans="1:14" ht="16.5" customHeight="1">
      <c r="A2101" s="3"/>
      <c r="B2101" s="3"/>
      <c r="C2101" s="3"/>
      <c r="D2101" s="3"/>
      <c r="E2101" s="3"/>
      <c r="F2101" s="3"/>
      <c r="G2101" s="3"/>
      <c r="H2101" s="3"/>
      <c r="I2101" s="3"/>
      <c r="J2101" s="3"/>
      <c r="K2101" s="3"/>
      <c r="L2101" s="3"/>
      <c r="M2101" s="3"/>
      <c r="N2101" s="3"/>
    </row>
    <row r="2102" spans="1:14" ht="16.5" customHeight="1">
      <c r="A2102" s="3"/>
      <c r="B2102" s="3"/>
      <c r="C2102" s="3"/>
      <c r="D2102" s="3"/>
      <c r="E2102" s="3"/>
      <c r="F2102" s="3"/>
      <c r="G2102" s="3"/>
      <c r="H2102" s="3"/>
      <c r="I2102" s="3"/>
      <c r="J2102" s="3"/>
      <c r="K2102" s="3"/>
      <c r="L2102" s="3"/>
      <c r="M2102" s="3"/>
      <c r="N2102" s="3"/>
    </row>
    <row r="2103" spans="1:14" ht="16.5" customHeight="1">
      <c r="A2103" s="3"/>
      <c r="B2103" s="3"/>
      <c r="C2103" s="3"/>
      <c r="D2103" s="3"/>
      <c r="E2103" s="3"/>
      <c r="F2103" s="3"/>
      <c r="G2103" s="3"/>
      <c r="H2103" s="3"/>
      <c r="I2103" s="3"/>
      <c r="J2103" s="3"/>
      <c r="K2103" s="3"/>
      <c r="L2103" s="3"/>
      <c r="M2103" s="3"/>
      <c r="N2103" s="3"/>
    </row>
    <row r="2104" spans="1:14" ht="16.5" customHeight="1">
      <c r="A2104" s="3"/>
      <c r="B2104" s="3"/>
      <c r="C2104" s="3"/>
      <c r="D2104" s="3"/>
      <c r="E2104" s="3"/>
      <c r="F2104" s="3"/>
      <c r="G2104" s="3"/>
      <c r="H2104" s="3"/>
      <c r="I2104" s="3"/>
      <c r="J2104" s="3"/>
      <c r="K2104" s="3"/>
      <c r="L2104" s="3"/>
      <c r="M2104" s="3"/>
      <c r="N2104" s="3"/>
    </row>
    <row r="2105" spans="1:14" ht="16.5" customHeight="1">
      <c r="A2105" s="3"/>
      <c r="B2105" s="3"/>
      <c r="C2105" s="3"/>
      <c r="D2105" s="3"/>
      <c r="E2105" s="3"/>
      <c r="F2105" s="3"/>
      <c r="G2105" s="3"/>
      <c r="H2105" s="3"/>
      <c r="I2105" s="3"/>
      <c r="J2105" s="3"/>
      <c r="K2105" s="3"/>
      <c r="L2105" s="3"/>
      <c r="M2105" s="3"/>
      <c r="N2105" s="3"/>
    </row>
    <row r="2106" spans="1:14" ht="16.5" customHeight="1">
      <c r="A2106" s="3"/>
      <c r="B2106" s="3"/>
      <c r="C2106" s="3"/>
      <c r="D2106" s="3"/>
      <c r="E2106" s="3"/>
      <c r="F2106" s="3"/>
      <c r="G2106" s="3"/>
      <c r="H2106" s="3"/>
      <c r="I2106" s="3"/>
      <c r="J2106" s="3"/>
      <c r="K2106" s="3"/>
      <c r="L2106" s="3"/>
      <c r="M2106" s="3"/>
      <c r="N2106" s="3"/>
    </row>
    <row r="2107" spans="1:14" ht="16.5" customHeight="1">
      <c r="A2107" s="3"/>
      <c r="B2107" s="3"/>
      <c r="C2107" s="3"/>
      <c r="D2107" s="3"/>
      <c r="E2107" s="3"/>
      <c r="F2107" s="3"/>
      <c r="G2107" s="3"/>
      <c r="H2107" s="3"/>
      <c r="I2107" s="3"/>
      <c r="J2107" s="3"/>
      <c r="K2107" s="3"/>
      <c r="L2107" s="3"/>
      <c r="M2107" s="3"/>
      <c r="N2107" s="3"/>
    </row>
    <row r="2108" spans="1:14" ht="16.5" customHeight="1">
      <c r="A2108" s="3"/>
      <c r="B2108" s="3"/>
      <c r="C2108" s="3"/>
      <c r="D2108" s="3"/>
      <c r="E2108" s="3"/>
      <c r="F2108" s="3"/>
      <c r="G2108" s="3"/>
      <c r="H2108" s="3"/>
      <c r="I2108" s="3"/>
      <c r="J2108" s="3"/>
      <c r="K2108" s="3"/>
      <c r="L2108" s="3"/>
      <c r="M2108" s="3"/>
      <c r="N2108" s="3"/>
    </row>
    <row r="2109" spans="1:14" ht="16.5" customHeight="1">
      <c r="A2109" s="3"/>
      <c r="B2109" s="3"/>
      <c r="C2109" s="3"/>
      <c r="D2109" s="3"/>
      <c r="E2109" s="3"/>
      <c r="F2109" s="3"/>
      <c r="G2109" s="3"/>
      <c r="H2109" s="3"/>
      <c r="I2109" s="3"/>
      <c r="J2109" s="3"/>
      <c r="K2109" s="3"/>
      <c r="L2109" s="3"/>
      <c r="M2109" s="3"/>
      <c r="N2109" s="3"/>
    </row>
    <row r="2110" spans="1:14" ht="16.5" customHeight="1">
      <c r="A2110" s="3"/>
      <c r="B2110" s="3"/>
      <c r="C2110" s="3"/>
      <c r="D2110" s="3"/>
      <c r="E2110" s="3"/>
      <c r="F2110" s="3"/>
      <c r="G2110" s="3"/>
      <c r="H2110" s="3"/>
      <c r="I2110" s="3"/>
      <c r="J2110" s="3"/>
      <c r="K2110" s="3"/>
      <c r="L2110" s="3"/>
      <c r="M2110" s="3"/>
      <c r="N2110" s="3"/>
    </row>
    <row r="2111" spans="1:14" ht="16.5" customHeight="1">
      <c r="A2111" s="3"/>
      <c r="B2111" s="3"/>
      <c r="C2111" s="3"/>
      <c r="D2111" s="3"/>
      <c r="E2111" s="3"/>
      <c r="F2111" s="3"/>
      <c r="G2111" s="3"/>
      <c r="H2111" s="3"/>
      <c r="I2111" s="3"/>
      <c r="J2111" s="3"/>
      <c r="K2111" s="3"/>
      <c r="L2111" s="3"/>
      <c r="M2111" s="3"/>
      <c r="N2111" s="3"/>
    </row>
    <row r="2112" spans="1:14" ht="16.5" customHeight="1">
      <c r="A2112" s="3"/>
      <c r="B2112" s="3"/>
      <c r="C2112" s="3"/>
      <c r="D2112" s="3"/>
      <c r="E2112" s="3"/>
      <c r="F2112" s="3"/>
      <c r="G2112" s="3"/>
      <c r="H2112" s="3"/>
      <c r="I2112" s="3"/>
      <c r="J2112" s="3"/>
      <c r="K2112" s="3"/>
      <c r="L2112" s="3"/>
      <c r="M2112" s="3"/>
      <c r="N2112" s="3"/>
    </row>
    <row r="2113" spans="1:14" ht="16.5" customHeight="1">
      <c r="A2113" s="3"/>
      <c r="B2113" s="3"/>
      <c r="C2113" s="3"/>
      <c r="D2113" s="3"/>
      <c r="E2113" s="3"/>
      <c r="F2113" s="3"/>
      <c r="G2113" s="3"/>
      <c r="H2113" s="3"/>
      <c r="I2113" s="3"/>
      <c r="J2113" s="3"/>
      <c r="K2113" s="3"/>
      <c r="L2113" s="3"/>
      <c r="M2113" s="3"/>
      <c r="N2113" s="3"/>
    </row>
    <row r="2114" spans="1:14" ht="16.5" customHeight="1">
      <c r="A2114" s="3"/>
      <c r="B2114" s="3"/>
      <c r="C2114" s="3"/>
      <c r="D2114" s="3"/>
      <c r="E2114" s="3"/>
      <c r="F2114" s="3"/>
      <c r="G2114" s="3"/>
      <c r="H2114" s="3"/>
      <c r="I2114" s="3"/>
      <c r="J2114" s="3"/>
      <c r="K2114" s="3"/>
      <c r="L2114" s="3"/>
      <c r="M2114" s="3"/>
      <c r="N2114" s="3"/>
    </row>
    <row r="2115" spans="1:14" ht="16.5" customHeight="1">
      <c r="A2115" s="3"/>
      <c r="B2115" s="3"/>
      <c r="C2115" s="3"/>
      <c r="D2115" s="3"/>
      <c r="E2115" s="3"/>
      <c r="F2115" s="3"/>
      <c r="G2115" s="3"/>
      <c r="H2115" s="3"/>
      <c r="I2115" s="3"/>
      <c r="J2115" s="3"/>
      <c r="K2115" s="3"/>
      <c r="L2115" s="3"/>
      <c r="M2115" s="3"/>
      <c r="N2115" s="3"/>
    </row>
    <row r="2116" spans="1:14" ht="16.5" customHeight="1">
      <c r="A2116" s="3"/>
      <c r="B2116" s="3"/>
      <c r="C2116" s="3"/>
      <c r="D2116" s="3"/>
      <c r="E2116" s="3"/>
      <c r="F2116" s="3"/>
      <c r="G2116" s="3"/>
      <c r="H2116" s="3"/>
      <c r="I2116" s="3"/>
      <c r="J2116" s="3"/>
      <c r="K2116" s="3"/>
      <c r="L2116" s="3"/>
      <c r="M2116" s="3"/>
      <c r="N2116" s="3"/>
    </row>
    <row r="2117" spans="1:14" ht="16.5" customHeight="1">
      <c r="A2117" s="3"/>
      <c r="B2117" s="3"/>
      <c r="C2117" s="3"/>
      <c r="D2117" s="3"/>
      <c r="E2117" s="3"/>
      <c r="F2117" s="3"/>
      <c r="G2117" s="3"/>
      <c r="H2117" s="3"/>
      <c r="I2117" s="3"/>
      <c r="J2117" s="3"/>
      <c r="K2117" s="3"/>
      <c r="L2117" s="3"/>
      <c r="M2117" s="3"/>
      <c r="N2117" s="3"/>
    </row>
    <row r="2118" spans="1:14" ht="16.5" customHeight="1">
      <c r="A2118" s="3"/>
      <c r="B2118" s="3"/>
      <c r="C2118" s="3"/>
      <c r="D2118" s="3"/>
      <c r="E2118" s="3"/>
      <c r="F2118" s="3"/>
      <c r="G2118" s="3"/>
      <c r="H2118" s="3"/>
      <c r="I2118" s="3"/>
      <c r="J2118" s="3"/>
      <c r="K2118" s="3"/>
      <c r="L2118" s="3"/>
      <c r="M2118" s="3"/>
      <c r="N2118" s="3"/>
    </row>
    <row r="2119" spans="1:14" ht="16.5" customHeight="1">
      <c r="A2119" s="3"/>
      <c r="B2119" s="3"/>
      <c r="C2119" s="3"/>
      <c r="D2119" s="3"/>
      <c r="E2119" s="3"/>
      <c r="F2119" s="3"/>
      <c r="G2119" s="3"/>
      <c r="H2119" s="3"/>
      <c r="I2119" s="3"/>
      <c r="J2119" s="3"/>
      <c r="K2119" s="3"/>
      <c r="L2119" s="3"/>
      <c r="M2119" s="3"/>
      <c r="N2119" s="3"/>
    </row>
    <row r="2120" spans="1:14" ht="16.5" customHeight="1">
      <c r="A2120" s="3"/>
      <c r="B2120" s="3"/>
      <c r="C2120" s="3"/>
      <c r="D2120" s="3"/>
      <c r="E2120" s="3"/>
      <c r="F2120" s="3"/>
      <c r="G2120" s="3"/>
      <c r="H2120" s="3"/>
      <c r="I2120" s="3"/>
      <c r="J2120" s="3"/>
      <c r="K2120" s="3"/>
      <c r="L2120" s="3"/>
      <c r="M2120" s="3"/>
      <c r="N2120" s="3"/>
    </row>
    <row r="2121" spans="1:14" ht="16.5" customHeight="1">
      <c r="A2121" s="3"/>
      <c r="B2121" s="3"/>
      <c r="C2121" s="3"/>
      <c r="D2121" s="3"/>
      <c r="E2121" s="3"/>
      <c r="F2121" s="3"/>
      <c r="G2121" s="3"/>
      <c r="H2121" s="3"/>
      <c r="I2121" s="3"/>
      <c r="J2121" s="3"/>
      <c r="K2121" s="3"/>
      <c r="L2121" s="3"/>
      <c r="M2121" s="3"/>
      <c r="N2121" s="3"/>
    </row>
    <row r="2122" spans="1:14" ht="16.5" customHeight="1">
      <c r="A2122" s="3"/>
      <c r="B2122" s="3"/>
      <c r="C2122" s="3"/>
      <c r="D2122" s="3"/>
      <c r="E2122" s="3"/>
      <c r="F2122" s="3"/>
      <c r="G2122" s="3"/>
      <c r="H2122" s="3"/>
      <c r="I2122" s="3"/>
      <c r="J2122" s="3"/>
      <c r="K2122" s="3"/>
      <c r="L2122" s="3"/>
      <c r="M2122" s="3"/>
      <c r="N2122" s="3"/>
    </row>
    <row r="2123" spans="1:14" ht="16.5" customHeight="1">
      <c r="A2123" s="3"/>
      <c r="B2123" s="3"/>
      <c r="C2123" s="3"/>
      <c r="D2123" s="3"/>
      <c r="E2123" s="3"/>
      <c r="F2123" s="3"/>
      <c r="G2123" s="3"/>
      <c r="H2123" s="3"/>
      <c r="I2123" s="3"/>
      <c r="J2123" s="3"/>
      <c r="K2123" s="3"/>
      <c r="L2123" s="3"/>
      <c r="M2123" s="3"/>
      <c r="N2123" s="3"/>
    </row>
    <row r="2124" spans="1:14" ht="16.5" customHeight="1">
      <c r="A2124" s="3"/>
      <c r="B2124" s="3"/>
      <c r="C2124" s="3"/>
      <c r="D2124" s="3"/>
      <c r="E2124" s="3"/>
      <c r="F2124" s="3"/>
      <c r="G2124" s="3"/>
      <c r="H2124" s="3"/>
      <c r="I2124" s="3"/>
      <c r="J2124" s="3"/>
      <c r="K2124" s="3"/>
      <c r="L2124" s="3"/>
      <c r="M2124" s="3"/>
      <c r="N2124" s="3"/>
    </row>
    <row r="2125" spans="1:14" ht="16.5" customHeight="1">
      <c r="A2125" s="3"/>
      <c r="B2125" s="3"/>
      <c r="C2125" s="3"/>
      <c r="D2125" s="3"/>
      <c r="E2125" s="3"/>
      <c r="F2125" s="3"/>
      <c r="G2125" s="3"/>
      <c r="H2125" s="3"/>
      <c r="I2125" s="3"/>
      <c r="J2125" s="3"/>
      <c r="K2125" s="3"/>
      <c r="L2125" s="3"/>
      <c r="M2125" s="3"/>
      <c r="N2125" s="3"/>
    </row>
    <row r="2126" spans="1:14" ht="16.5" customHeight="1">
      <c r="A2126" s="3"/>
      <c r="B2126" s="3"/>
      <c r="C2126" s="3"/>
      <c r="D2126" s="3"/>
      <c r="E2126" s="3"/>
      <c r="F2126" s="3"/>
      <c r="G2126" s="3"/>
      <c r="H2126" s="3"/>
      <c r="I2126" s="3"/>
      <c r="J2126" s="3"/>
      <c r="K2126" s="3"/>
      <c r="L2126" s="3"/>
      <c r="M2126" s="3"/>
      <c r="N2126" s="3"/>
    </row>
    <row r="2127" spans="1:14" ht="16.5" customHeight="1">
      <c r="A2127" s="3"/>
      <c r="B2127" s="3"/>
      <c r="C2127" s="3"/>
      <c r="D2127" s="3"/>
      <c r="E2127" s="3"/>
      <c r="F2127" s="3"/>
      <c r="G2127" s="3"/>
      <c r="H2127" s="3"/>
      <c r="I2127" s="3"/>
      <c r="J2127" s="3"/>
      <c r="K2127" s="3"/>
      <c r="L2127" s="3"/>
      <c r="M2127" s="3"/>
      <c r="N2127" s="3"/>
    </row>
    <row r="2128" spans="1:14" ht="16.5" customHeight="1">
      <c r="A2128" s="3"/>
      <c r="B2128" s="3"/>
      <c r="C2128" s="3"/>
      <c r="D2128" s="3"/>
      <c r="E2128" s="3"/>
      <c r="F2128" s="3"/>
      <c r="G2128" s="3"/>
      <c r="H2128" s="3"/>
      <c r="I2128" s="3"/>
      <c r="J2128" s="3"/>
      <c r="K2128" s="3"/>
      <c r="L2128" s="3"/>
      <c r="M2128" s="3"/>
      <c r="N2128" s="3"/>
    </row>
    <row r="2129" spans="1:14" ht="16.5" customHeight="1">
      <c r="A2129" s="3"/>
      <c r="B2129" s="3"/>
      <c r="C2129" s="3"/>
      <c r="D2129" s="3"/>
      <c r="E2129" s="3"/>
      <c r="F2129" s="3"/>
      <c r="G2129" s="3"/>
      <c r="H2129" s="3"/>
      <c r="I2129" s="3"/>
      <c r="J2129" s="3"/>
      <c r="K2129" s="3"/>
      <c r="L2129" s="3"/>
      <c r="M2129" s="3"/>
      <c r="N2129" s="3"/>
    </row>
    <row r="2130" spans="1:14" ht="16.5" customHeight="1">
      <c r="A2130" s="3"/>
      <c r="B2130" s="3"/>
      <c r="C2130" s="3"/>
      <c r="D2130" s="3"/>
      <c r="E2130" s="3"/>
      <c r="F2130" s="3"/>
      <c r="G2130" s="3"/>
      <c r="H2130" s="3"/>
      <c r="I2130" s="3"/>
      <c r="J2130" s="3"/>
      <c r="K2130" s="3"/>
      <c r="L2130" s="3"/>
      <c r="M2130" s="3"/>
      <c r="N2130" s="3"/>
    </row>
    <row r="2131" spans="1:14" ht="16.5" customHeight="1">
      <c r="A2131" s="3"/>
      <c r="B2131" s="3"/>
      <c r="C2131" s="3"/>
      <c r="D2131" s="3"/>
      <c r="E2131" s="3"/>
      <c r="F2131" s="3"/>
      <c r="G2131" s="3"/>
      <c r="H2131" s="3"/>
      <c r="I2131" s="3"/>
      <c r="J2131" s="3"/>
      <c r="K2131" s="3"/>
      <c r="L2131" s="3"/>
      <c r="M2131" s="3"/>
      <c r="N2131" s="3"/>
    </row>
    <row r="2132" spans="1:14" ht="16.5" customHeight="1">
      <c r="A2132" s="3"/>
      <c r="B2132" s="3"/>
      <c r="C2132" s="3"/>
      <c r="D2132" s="3"/>
      <c r="E2132" s="3"/>
      <c r="F2132" s="3"/>
      <c r="G2132" s="3"/>
      <c r="H2132" s="3"/>
      <c r="I2132" s="3"/>
      <c r="J2132" s="3"/>
      <c r="K2132" s="3"/>
      <c r="L2132" s="3"/>
      <c r="M2132" s="3"/>
      <c r="N2132" s="3"/>
    </row>
    <row r="2133" spans="1:14" ht="16.5" customHeight="1">
      <c r="A2133" s="3"/>
      <c r="B2133" s="3"/>
      <c r="C2133" s="3"/>
      <c r="D2133" s="3"/>
      <c r="E2133" s="3"/>
      <c r="F2133" s="3"/>
      <c r="G2133" s="3"/>
      <c r="H2133" s="3"/>
      <c r="I2133" s="3"/>
      <c r="J2133" s="3"/>
      <c r="K2133" s="3"/>
      <c r="L2133" s="3"/>
      <c r="M2133" s="3"/>
      <c r="N2133" s="3"/>
    </row>
    <row r="2134" spans="1:14" ht="16.5" customHeight="1">
      <c r="A2134" s="3"/>
      <c r="B2134" s="3"/>
      <c r="C2134" s="3"/>
      <c r="D2134" s="3"/>
      <c r="E2134" s="3"/>
      <c r="F2134" s="3"/>
      <c r="G2134" s="3"/>
      <c r="H2134" s="3"/>
      <c r="I2134" s="3"/>
      <c r="J2134" s="3"/>
      <c r="K2134" s="3"/>
      <c r="L2134" s="3"/>
      <c r="M2134" s="3"/>
      <c r="N2134" s="3"/>
    </row>
    <row r="2135" spans="1:14" ht="16.5" customHeight="1">
      <c r="A2135" s="3"/>
      <c r="B2135" s="3"/>
      <c r="C2135" s="3"/>
      <c r="D2135" s="3"/>
      <c r="E2135" s="3"/>
      <c r="F2135" s="3"/>
      <c r="G2135" s="3"/>
      <c r="H2135" s="3"/>
      <c r="I2135" s="3"/>
      <c r="J2135" s="3"/>
      <c r="K2135" s="3"/>
      <c r="L2135" s="3"/>
      <c r="M2135" s="3"/>
      <c r="N2135" s="3"/>
    </row>
    <row r="2136" spans="1:14" ht="16.5" customHeight="1">
      <c r="A2136" s="3"/>
      <c r="B2136" s="3"/>
      <c r="C2136" s="3"/>
      <c r="D2136" s="3"/>
      <c r="E2136" s="3"/>
      <c r="F2136" s="3"/>
      <c r="G2136" s="3"/>
      <c r="H2136" s="3"/>
      <c r="I2136" s="3"/>
      <c r="J2136" s="3"/>
      <c r="K2136" s="3"/>
      <c r="L2136" s="3"/>
      <c r="M2136" s="3"/>
      <c r="N2136" s="3"/>
    </row>
    <row r="2137" spans="1:14" ht="16.5" customHeight="1">
      <c r="A2137" s="3"/>
      <c r="B2137" s="3"/>
      <c r="C2137" s="3"/>
      <c r="D2137" s="3"/>
      <c r="E2137" s="3"/>
      <c r="F2137" s="3"/>
      <c r="G2137" s="3"/>
      <c r="H2137" s="3"/>
      <c r="I2137" s="3"/>
      <c r="J2137" s="3"/>
      <c r="K2137" s="3"/>
      <c r="L2137" s="3"/>
      <c r="M2137" s="3"/>
      <c r="N2137" s="3"/>
    </row>
    <row r="2138" spans="1:14" ht="16.5" customHeight="1">
      <c r="A2138" s="3"/>
      <c r="B2138" s="3"/>
      <c r="C2138" s="3"/>
      <c r="D2138" s="3"/>
      <c r="E2138" s="3"/>
      <c r="F2138" s="3"/>
      <c r="G2138" s="3"/>
      <c r="H2138" s="3"/>
      <c r="I2138" s="3"/>
      <c r="J2138" s="3"/>
      <c r="K2138" s="3"/>
      <c r="L2138" s="3"/>
      <c r="M2138" s="3"/>
      <c r="N2138" s="3"/>
    </row>
    <row r="2139" spans="1:14" ht="16.5" customHeight="1">
      <c r="A2139" s="3"/>
      <c r="B2139" s="3"/>
      <c r="C2139" s="3"/>
      <c r="D2139" s="3"/>
      <c r="E2139" s="3"/>
      <c r="F2139" s="3"/>
      <c r="G2139" s="3"/>
      <c r="H2139" s="3"/>
      <c r="I2139" s="3"/>
      <c r="J2139" s="3"/>
      <c r="K2139" s="3"/>
      <c r="L2139" s="3"/>
      <c r="M2139" s="3"/>
      <c r="N2139" s="3"/>
    </row>
    <row r="2140" spans="1:14" ht="16.5" customHeight="1">
      <c r="A2140" s="3"/>
      <c r="B2140" s="3"/>
      <c r="C2140" s="3"/>
      <c r="D2140" s="3"/>
      <c r="E2140" s="3"/>
      <c r="F2140" s="3"/>
      <c r="G2140" s="3"/>
      <c r="H2140" s="3"/>
      <c r="I2140" s="3"/>
      <c r="J2140" s="3"/>
      <c r="K2140" s="3"/>
      <c r="L2140" s="3"/>
      <c r="M2140" s="3"/>
      <c r="N2140" s="3"/>
    </row>
    <row r="2141" spans="1:14" ht="16.5" customHeight="1">
      <c r="A2141" s="3"/>
      <c r="B2141" s="3"/>
      <c r="C2141" s="3"/>
      <c r="D2141" s="3"/>
      <c r="E2141" s="3"/>
      <c r="F2141" s="3"/>
      <c r="G2141" s="3"/>
      <c r="H2141" s="3"/>
      <c r="I2141" s="3"/>
      <c r="J2141" s="3"/>
      <c r="K2141" s="3"/>
      <c r="L2141" s="3"/>
      <c r="M2141" s="3"/>
      <c r="N2141" s="3"/>
    </row>
    <row r="2142" spans="1:14" ht="16.5" customHeight="1">
      <c r="A2142" s="3"/>
      <c r="B2142" s="3"/>
      <c r="C2142" s="3"/>
      <c r="D2142" s="3"/>
      <c r="E2142" s="3"/>
      <c r="F2142" s="3"/>
      <c r="G2142" s="3"/>
      <c r="H2142" s="3"/>
      <c r="I2142" s="3"/>
      <c r="J2142" s="3"/>
      <c r="K2142" s="3"/>
      <c r="L2142" s="3"/>
      <c r="M2142" s="3"/>
      <c r="N2142" s="3"/>
    </row>
    <row r="2143" spans="1:14" ht="16.5" customHeight="1">
      <c r="A2143" s="3"/>
      <c r="B2143" s="3"/>
      <c r="C2143" s="3"/>
      <c r="D2143" s="3"/>
      <c r="E2143" s="3"/>
      <c r="F2143" s="3"/>
      <c r="G2143" s="3"/>
      <c r="H2143" s="3"/>
      <c r="I2143" s="3"/>
      <c r="J2143" s="3"/>
      <c r="K2143" s="3"/>
      <c r="L2143" s="3"/>
      <c r="M2143" s="3"/>
      <c r="N2143" s="3"/>
    </row>
    <row r="2144" spans="1:14" ht="16.5" customHeight="1">
      <c r="A2144" s="3"/>
      <c r="B2144" s="3"/>
      <c r="C2144" s="3"/>
      <c r="D2144" s="3"/>
      <c r="E2144" s="3"/>
      <c r="F2144" s="3"/>
      <c r="G2144" s="3"/>
      <c r="H2144" s="3"/>
      <c r="I2144" s="3"/>
      <c r="J2144" s="3"/>
      <c r="K2144" s="3"/>
      <c r="L2144" s="3"/>
      <c r="M2144" s="3"/>
      <c r="N2144" s="3"/>
    </row>
    <row r="2145" spans="1:14" ht="16.5" customHeight="1">
      <c r="A2145" s="3"/>
      <c r="B2145" s="3"/>
      <c r="C2145" s="3"/>
      <c r="D2145" s="3"/>
      <c r="E2145" s="3"/>
      <c r="F2145" s="3"/>
      <c r="G2145" s="3"/>
      <c r="H2145" s="3"/>
      <c r="I2145" s="3"/>
      <c r="J2145" s="3"/>
      <c r="K2145" s="3"/>
      <c r="L2145" s="3"/>
      <c r="M2145" s="3"/>
      <c r="N2145" s="3"/>
    </row>
    <row r="2146" spans="1:14" ht="16.5" customHeight="1">
      <c r="A2146" s="3"/>
      <c r="B2146" s="3"/>
      <c r="C2146" s="3"/>
      <c r="D2146" s="3"/>
      <c r="E2146" s="3"/>
      <c r="F2146" s="3"/>
      <c r="G2146" s="3"/>
      <c r="H2146" s="3"/>
      <c r="I2146" s="3"/>
      <c r="J2146" s="3"/>
      <c r="K2146" s="3"/>
      <c r="L2146" s="3"/>
      <c r="M2146" s="3"/>
      <c r="N2146" s="3"/>
    </row>
    <row r="2147" spans="1:14" ht="16.5" customHeight="1">
      <c r="A2147" s="3"/>
      <c r="B2147" s="3"/>
      <c r="C2147" s="3"/>
      <c r="D2147" s="3"/>
      <c r="E2147" s="3"/>
      <c r="F2147" s="3"/>
      <c r="G2147" s="3"/>
      <c r="H2147" s="3"/>
      <c r="I2147" s="3"/>
      <c r="J2147" s="3"/>
      <c r="K2147" s="3"/>
      <c r="L2147" s="3"/>
      <c r="M2147" s="3"/>
      <c r="N2147" s="3"/>
    </row>
    <row r="2148" spans="1:14" ht="16.5" customHeight="1">
      <c r="A2148" s="3"/>
      <c r="B2148" s="3"/>
      <c r="C2148" s="3"/>
      <c r="D2148" s="3"/>
      <c r="E2148" s="3"/>
      <c r="F2148" s="3"/>
      <c r="G2148" s="3"/>
      <c r="H2148" s="3"/>
      <c r="I2148" s="3"/>
      <c r="J2148" s="3"/>
      <c r="K2148" s="3"/>
      <c r="L2148" s="3"/>
      <c r="M2148" s="3"/>
      <c r="N2148" s="3"/>
    </row>
    <row r="2149" spans="1:14" ht="16.5" customHeight="1">
      <c r="A2149" s="3"/>
      <c r="B2149" s="3"/>
      <c r="C2149" s="3"/>
      <c r="D2149" s="3"/>
      <c r="E2149" s="3"/>
      <c r="F2149" s="3"/>
      <c r="G2149" s="3"/>
      <c r="H2149" s="3"/>
      <c r="I2149" s="3"/>
      <c r="J2149" s="3"/>
      <c r="K2149" s="3"/>
      <c r="L2149" s="3"/>
      <c r="M2149" s="3"/>
      <c r="N2149" s="3"/>
    </row>
    <row r="2150" spans="1:14" ht="16.5" customHeight="1">
      <c r="A2150" s="3"/>
      <c r="B2150" s="3"/>
      <c r="C2150" s="3"/>
      <c r="D2150" s="3"/>
      <c r="E2150" s="3"/>
      <c r="F2150" s="3"/>
      <c r="G2150" s="3"/>
      <c r="H2150" s="3"/>
      <c r="I2150" s="3"/>
      <c r="J2150" s="3"/>
      <c r="K2150" s="3"/>
      <c r="L2150" s="3"/>
      <c r="M2150" s="3"/>
      <c r="N2150" s="3"/>
    </row>
    <row r="2151" spans="1:14" ht="16.5" customHeight="1">
      <c r="A2151" s="3"/>
      <c r="B2151" s="3"/>
      <c r="C2151" s="3"/>
      <c r="D2151" s="3"/>
      <c r="E2151" s="3"/>
      <c r="F2151" s="3"/>
      <c r="G2151" s="3"/>
      <c r="H2151" s="3"/>
      <c r="I2151" s="3"/>
      <c r="J2151" s="3"/>
      <c r="K2151" s="3"/>
      <c r="L2151" s="3"/>
      <c r="M2151" s="3"/>
      <c r="N2151" s="3"/>
    </row>
    <row r="2152" spans="1:14" ht="16.5" customHeight="1">
      <c r="A2152" s="3"/>
      <c r="B2152" s="3"/>
      <c r="C2152" s="3"/>
      <c r="D2152" s="3"/>
      <c r="E2152" s="3"/>
      <c r="F2152" s="3"/>
      <c r="G2152" s="3"/>
      <c r="H2152" s="3"/>
      <c r="I2152" s="3"/>
      <c r="J2152" s="3"/>
      <c r="K2152" s="3"/>
      <c r="L2152" s="3"/>
      <c r="M2152" s="3"/>
      <c r="N2152" s="3"/>
    </row>
    <row r="2153" spans="1:14" ht="16.5" customHeight="1">
      <c r="A2153" s="3"/>
      <c r="B2153" s="3"/>
      <c r="C2153" s="3"/>
      <c r="D2153" s="3"/>
      <c r="E2153" s="3"/>
      <c r="F2153" s="3"/>
      <c r="G2153" s="3"/>
      <c r="H2153" s="3"/>
      <c r="I2153" s="3"/>
      <c r="J2153" s="3"/>
      <c r="K2153" s="3"/>
      <c r="L2153" s="3"/>
      <c r="M2153" s="3"/>
      <c r="N2153" s="3"/>
    </row>
    <row r="2154" spans="1:14" ht="16.5" customHeight="1">
      <c r="A2154" s="3"/>
      <c r="B2154" s="3"/>
      <c r="C2154" s="3"/>
      <c r="D2154" s="3"/>
      <c r="E2154" s="3"/>
      <c r="F2154" s="3"/>
      <c r="G2154" s="3"/>
      <c r="H2154" s="3"/>
      <c r="I2154" s="3"/>
      <c r="J2154" s="3"/>
      <c r="K2154" s="3"/>
      <c r="L2154" s="3"/>
      <c r="M2154" s="3"/>
      <c r="N2154" s="3"/>
    </row>
    <row r="2155" spans="1:14" ht="16.5" customHeight="1">
      <c r="A2155" s="3"/>
      <c r="B2155" s="3"/>
      <c r="C2155" s="3"/>
      <c r="D2155" s="3"/>
      <c r="E2155" s="3"/>
      <c r="F2155" s="3"/>
      <c r="G2155" s="3"/>
      <c r="H2155" s="3"/>
      <c r="I2155" s="3"/>
      <c r="J2155" s="3"/>
      <c r="K2155" s="3"/>
      <c r="L2155" s="3"/>
      <c r="M2155" s="3"/>
      <c r="N2155" s="3"/>
    </row>
    <row r="2156" spans="1:14" ht="16.5" customHeight="1">
      <c r="A2156" s="3"/>
      <c r="B2156" s="3"/>
      <c r="C2156" s="3"/>
      <c r="D2156" s="3"/>
      <c r="E2156" s="3"/>
      <c r="F2156" s="3"/>
      <c r="G2156" s="3"/>
      <c r="H2156" s="3"/>
      <c r="I2156" s="3"/>
      <c r="J2156" s="3"/>
      <c r="K2156" s="3"/>
      <c r="L2156" s="3"/>
      <c r="M2156" s="3"/>
      <c r="N2156" s="3"/>
    </row>
    <row r="2157" spans="1:14" ht="16.5" customHeight="1">
      <c r="A2157" s="3"/>
      <c r="B2157" s="3"/>
      <c r="C2157" s="3"/>
      <c r="D2157" s="3"/>
      <c r="E2157" s="3"/>
      <c r="F2157" s="3"/>
      <c r="G2157" s="3"/>
      <c r="H2157" s="3"/>
      <c r="I2157" s="3"/>
      <c r="J2157" s="3"/>
      <c r="K2157" s="3"/>
      <c r="L2157" s="3"/>
      <c r="M2157" s="3"/>
      <c r="N2157" s="3"/>
    </row>
    <row r="2158" spans="1:14" ht="16.5" customHeight="1">
      <c r="A2158" s="3"/>
      <c r="B2158" s="3"/>
      <c r="C2158" s="3"/>
      <c r="D2158" s="3"/>
      <c r="E2158" s="3"/>
      <c r="F2158" s="3"/>
      <c r="G2158" s="3"/>
      <c r="H2158" s="3"/>
      <c r="I2158" s="3"/>
      <c r="J2158" s="3"/>
      <c r="K2158" s="3"/>
      <c r="L2158" s="3"/>
      <c r="M2158" s="3"/>
      <c r="N2158" s="3"/>
    </row>
    <row r="2159" spans="1:14" ht="16.5" customHeight="1">
      <c r="A2159" s="3"/>
      <c r="B2159" s="3"/>
      <c r="C2159" s="3"/>
      <c r="D2159" s="3"/>
      <c r="E2159" s="3"/>
      <c r="F2159" s="3"/>
      <c r="G2159" s="3"/>
      <c r="H2159" s="3"/>
      <c r="I2159" s="3"/>
      <c r="J2159" s="3"/>
      <c r="K2159" s="3"/>
      <c r="L2159" s="3"/>
      <c r="M2159" s="3"/>
      <c r="N2159" s="3"/>
    </row>
    <row r="2160" spans="1:14" ht="16.5" customHeight="1">
      <c r="A2160" s="3"/>
      <c r="B2160" s="3"/>
      <c r="C2160" s="3"/>
      <c r="D2160" s="3"/>
      <c r="E2160" s="3"/>
      <c r="F2160" s="3"/>
      <c r="G2160" s="3"/>
      <c r="H2160" s="3"/>
      <c r="I2160" s="3"/>
      <c r="J2160" s="3"/>
      <c r="K2160" s="3"/>
      <c r="L2160" s="3"/>
      <c r="M2160" s="3"/>
      <c r="N2160" s="3"/>
    </row>
    <row r="2161" spans="1:14" ht="16.5" customHeight="1">
      <c r="A2161" s="3"/>
      <c r="B2161" s="3"/>
      <c r="C2161" s="3"/>
      <c r="D2161" s="3"/>
      <c r="E2161" s="3"/>
      <c r="F2161" s="3"/>
      <c r="G2161" s="3"/>
      <c r="H2161" s="3"/>
      <c r="I2161" s="3"/>
      <c r="J2161" s="3"/>
      <c r="K2161" s="3"/>
      <c r="L2161" s="3"/>
      <c r="M2161" s="3"/>
      <c r="N2161" s="3"/>
    </row>
    <row r="2162" spans="1:14" ht="16.5" customHeight="1">
      <c r="A2162" s="3"/>
      <c r="B2162" s="3"/>
      <c r="C2162" s="3"/>
      <c r="D2162" s="3"/>
      <c r="E2162" s="3"/>
      <c r="F2162" s="3"/>
      <c r="G2162" s="3"/>
      <c r="H2162" s="3"/>
      <c r="I2162" s="3"/>
      <c r="J2162" s="3"/>
      <c r="K2162" s="3"/>
      <c r="L2162" s="3"/>
      <c r="M2162" s="3"/>
      <c r="N2162" s="3"/>
    </row>
    <row r="2163" spans="1:14" ht="16.5" customHeight="1">
      <c r="A2163" s="3"/>
      <c r="B2163" s="3"/>
      <c r="C2163" s="3"/>
      <c r="D2163" s="3"/>
      <c r="E2163" s="3"/>
      <c r="F2163" s="3"/>
      <c r="G2163" s="3"/>
      <c r="H2163" s="3"/>
      <c r="I2163" s="3"/>
      <c r="J2163" s="3"/>
      <c r="K2163" s="3"/>
      <c r="L2163" s="3"/>
      <c r="M2163" s="3"/>
      <c r="N2163" s="3"/>
    </row>
    <row r="2164" spans="1:14" ht="16.5" customHeight="1">
      <c r="A2164" s="3"/>
      <c r="B2164" s="3"/>
      <c r="C2164" s="3"/>
      <c r="D2164" s="3"/>
      <c r="E2164" s="3"/>
      <c r="F2164" s="3"/>
      <c r="G2164" s="3"/>
      <c r="H2164" s="3"/>
      <c r="I2164" s="3"/>
      <c r="J2164" s="3"/>
      <c r="K2164" s="3"/>
      <c r="L2164" s="3"/>
      <c r="M2164" s="3"/>
      <c r="N2164" s="3"/>
    </row>
    <row r="2165" spans="1:14" ht="16.5" customHeight="1">
      <c r="A2165" s="3"/>
      <c r="B2165" s="3"/>
      <c r="C2165" s="3"/>
      <c r="D2165" s="3"/>
      <c r="E2165" s="3"/>
      <c r="F2165" s="3"/>
      <c r="G2165" s="3"/>
      <c r="H2165" s="3"/>
      <c r="I2165" s="3"/>
      <c r="J2165" s="3"/>
      <c r="K2165" s="3"/>
      <c r="L2165" s="3"/>
      <c r="M2165" s="3"/>
      <c r="N2165" s="3"/>
    </row>
    <row r="2166" spans="1:14" ht="16.5" customHeight="1">
      <c r="A2166" s="3"/>
      <c r="B2166" s="3"/>
      <c r="C2166" s="3"/>
      <c r="D2166" s="3"/>
      <c r="E2166" s="3"/>
      <c r="F2166" s="3"/>
      <c r="G2166" s="3"/>
      <c r="H2166" s="3"/>
      <c r="I2166" s="3"/>
      <c r="J2166" s="3"/>
      <c r="K2166" s="3"/>
      <c r="L2166" s="3"/>
      <c r="M2166" s="3"/>
      <c r="N2166" s="3"/>
    </row>
    <row r="2167" spans="1:14" ht="16.5" customHeight="1">
      <c r="A2167" s="3"/>
      <c r="B2167" s="3"/>
      <c r="C2167" s="3"/>
      <c r="D2167" s="3"/>
      <c r="E2167" s="3"/>
      <c r="F2167" s="3"/>
      <c r="G2167" s="3"/>
      <c r="H2167" s="3"/>
      <c r="I2167" s="3"/>
      <c r="J2167" s="3"/>
      <c r="K2167" s="3"/>
      <c r="L2167" s="3"/>
      <c r="M2167" s="3"/>
      <c r="N2167" s="3"/>
    </row>
    <row r="2168" spans="1:14" ht="16.5" customHeight="1">
      <c r="A2168" s="3"/>
      <c r="B2168" s="3"/>
      <c r="C2168" s="3"/>
      <c r="D2168" s="3"/>
      <c r="E2168" s="3"/>
      <c r="F2168" s="3"/>
      <c r="G2168" s="3"/>
      <c r="H2168" s="3"/>
      <c r="I2168" s="3"/>
      <c r="J2168" s="3"/>
      <c r="K2168" s="3"/>
      <c r="L2168" s="3"/>
      <c r="M2168" s="3"/>
      <c r="N2168" s="3"/>
    </row>
    <row r="2169" spans="1:14" ht="16.5" customHeight="1">
      <c r="A2169" s="3"/>
      <c r="B2169" s="3"/>
      <c r="C2169" s="3"/>
      <c r="D2169" s="3"/>
      <c r="E2169" s="3"/>
      <c r="F2169" s="3"/>
      <c r="G2169" s="3"/>
      <c r="H2169" s="3"/>
      <c r="I2169" s="3"/>
      <c r="J2169" s="3"/>
      <c r="K2169" s="3"/>
      <c r="L2169" s="3"/>
      <c r="M2169" s="3"/>
      <c r="N2169" s="3"/>
    </row>
    <row r="2170" spans="1:14" ht="16.5" customHeight="1">
      <c r="A2170" s="3"/>
      <c r="B2170" s="3"/>
      <c r="C2170" s="3"/>
      <c r="D2170" s="3"/>
      <c r="E2170" s="3"/>
      <c r="F2170" s="3"/>
      <c r="G2170" s="3"/>
      <c r="H2170" s="3"/>
      <c r="I2170" s="3"/>
      <c r="J2170" s="3"/>
      <c r="K2170" s="3"/>
      <c r="L2170" s="3"/>
      <c r="M2170" s="3"/>
      <c r="N2170" s="3"/>
    </row>
    <row r="2171" spans="1:14" ht="16.5" customHeight="1">
      <c r="A2171" s="3"/>
      <c r="B2171" s="3"/>
      <c r="C2171" s="3"/>
      <c r="D2171" s="3"/>
      <c r="E2171" s="3"/>
      <c r="F2171" s="3"/>
      <c r="G2171" s="3"/>
      <c r="H2171" s="3"/>
      <c r="I2171" s="3"/>
      <c r="J2171" s="3"/>
      <c r="K2171" s="3"/>
      <c r="L2171" s="3"/>
      <c r="M2171" s="3"/>
      <c r="N2171" s="3"/>
    </row>
    <row r="2172" spans="1:14" ht="16.5" customHeight="1">
      <c r="A2172" s="3"/>
      <c r="B2172" s="3"/>
      <c r="C2172" s="3"/>
      <c r="D2172" s="3"/>
      <c r="E2172" s="3"/>
      <c r="F2172" s="3"/>
      <c r="G2172" s="3"/>
      <c r="H2172" s="3"/>
      <c r="I2172" s="3"/>
      <c r="J2172" s="3"/>
      <c r="K2172" s="3"/>
      <c r="L2172" s="3"/>
      <c r="M2172" s="3"/>
      <c r="N2172" s="3"/>
    </row>
    <row r="2173" spans="1:14" ht="16.5" customHeight="1">
      <c r="A2173" s="3"/>
      <c r="B2173" s="3"/>
      <c r="C2173" s="3"/>
      <c r="D2173" s="3"/>
      <c r="E2173" s="3"/>
      <c r="F2173" s="3"/>
      <c r="G2173" s="3"/>
      <c r="H2173" s="3"/>
      <c r="I2173" s="3"/>
      <c r="J2173" s="3"/>
      <c r="K2173" s="3"/>
      <c r="L2173" s="3"/>
      <c r="M2173" s="3"/>
      <c r="N2173" s="3"/>
    </row>
    <row r="2174" spans="1:14" ht="16.5" customHeight="1">
      <c r="A2174" s="3"/>
      <c r="B2174" s="3"/>
      <c r="C2174" s="3"/>
      <c r="D2174" s="3"/>
      <c r="E2174" s="3"/>
      <c r="F2174" s="3"/>
      <c r="G2174" s="3"/>
      <c r="H2174" s="3"/>
      <c r="I2174" s="3"/>
      <c r="J2174" s="3"/>
      <c r="K2174" s="3"/>
      <c r="L2174" s="3"/>
      <c r="M2174" s="3"/>
      <c r="N2174" s="3"/>
    </row>
    <row r="2175" spans="1:14" ht="16.5" customHeight="1">
      <c r="A2175" s="3"/>
      <c r="B2175" s="3"/>
      <c r="C2175" s="3"/>
      <c r="D2175" s="3"/>
      <c r="E2175" s="3"/>
      <c r="F2175" s="3"/>
      <c r="G2175" s="3"/>
      <c r="H2175" s="3"/>
      <c r="I2175" s="3"/>
      <c r="J2175" s="3"/>
      <c r="K2175" s="3"/>
      <c r="L2175" s="3"/>
      <c r="M2175" s="3"/>
      <c r="N2175" s="3"/>
    </row>
    <row r="2176" spans="1:14" ht="16.5" customHeight="1">
      <c r="A2176" s="3"/>
      <c r="B2176" s="3"/>
      <c r="C2176" s="3"/>
      <c r="D2176" s="3"/>
      <c r="E2176" s="3"/>
      <c r="F2176" s="3"/>
      <c r="G2176" s="3"/>
      <c r="H2176" s="3"/>
      <c r="I2176" s="3"/>
      <c r="J2176" s="3"/>
      <c r="K2176" s="3"/>
      <c r="L2176" s="3"/>
      <c r="M2176" s="3"/>
      <c r="N2176" s="3"/>
    </row>
    <row r="2177" spans="1:14" ht="16.5" customHeight="1">
      <c r="A2177" s="3"/>
      <c r="B2177" s="3"/>
      <c r="C2177" s="3"/>
      <c r="D2177" s="3"/>
      <c r="E2177" s="3"/>
      <c r="F2177" s="3"/>
      <c r="G2177" s="3"/>
      <c r="H2177" s="3"/>
      <c r="I2177" s="3"/>
      <c r="J2177" s="3"/>
      <c r="K2177" s="3"/>
      <c r="L2177" s="3"/>
      <c r="M2177" s="3"/>
      <c r="N2177" s="3"/>
    </row>
    <row r="2178" spans="1:14" ht="16.5" customHeight="1">
      <c r="A2178" s="3"/>
      <c r="B2178" s="3"/>
      <c r="C2178" s="3"/>
      <c r="D2178" s="3"/>
      <c r="E2178" s="3"/>
      <c r="F2178" s="3"/>
      <c r="G2178" s="3"/>
      <c r="H2178" s="3"/>
      <c r="I2178" s="3"/>
      <c r="J2178" s="3"/>
      <c r="K2178" s="3"/>
      <c r="L2178" s="3"/>
      <c r="M2178" s="3"/>
      <c r="N2178" s="3"/>
    </row>
    <row r="2179" spans="1:14" ht="16.5" customHeight="1">
      <c r="A2179" s="3"/>
      <c r="B2179" s="3"/>
      <c r="C2179" s="3"/>
      <c r="D2179" s="3"/>
      <c r="E2179" s="3"/>
      <c r="F2179" s="3"/>
      <c r="G2179" s="3"/>
      <c r="H2179" s="3"/>
      <c r="I2179" s="3"/>
      <c r="J2179" s="3"/>
      <c r="K2179" s="3"/>
      <c r="L2179" s="3"/>
      <c r="M2179" s="3"/>
      <c r="N2179" s="3"/>
    </row>
    <row r="2180" spans="1:14" ht="16.5" customHeight="1">
      <c r="A2180" s="3"/>
      <c r="B2180" s="3"/>
      <c r="C2180" s="3"/>
      <c r="D2180" s="3"/>
      <c r="E2180" s="3"/>
      <c r="F2180" s="3"/>
      <c r="G2180" s="3"/>
      <c r="H2180" s="3"/>
      <c r="I2180" s="3"/>
      <c r="J2180" s="3"/>
      <c r="K2180" s="3"/>
      <c r="L2180" s="3"/>
      <c r="M2180" s="3"/>
      <c r="N2180" s="3"/>
    </row>
    <row r="2181" spans="1:14" ht="16.5" customHeight="1">
      <c r="A2181" s="3"/>
      <c r="B2181" s="3"/>
      <c r="C2181" s="3"/>
      <c r="D2181" s="3"/>
      <c r="E2181" s="3"/>
      <c r="F2181" s="3"/>
      <c r="G2181" s="3"/>
      <c r="H2181" s="3"/>
      <c r="I2181" s="3"/>
      <c r="J2181" s="3"/>
      <c r="K2181" s="3"/>
      <c r="L2181" s="3"/>
      <c r="M2181" s="3"/>
      <c r="N2181" s="3"/>
    </row>
    <row r="2182" spans="1:14" ht="16.5" customHeight="1">
      <c r="A2182" s="3"/>
      <c r="B2182" s="3"/>
      <c r="C2182" s="3"/>
      <c r="D2182" s="3"/>
      <c r="E2182" s="3"/>
      <c r="F2182" s="3"/>
      <c r="G2182" s="3"/>
      <c r="H2182" s="3"/>
      <c r="I2182" s="3"/>
      <c r="J2182" s="3"/>
      <c r="K2182" s="3"/>
      <c r="L2182" s="3"/>
      <c r="M2182" s="3"/>
      <c r="N2182" s="3"/>
    </row>
    <row r="2183" spans="1:14" ht="16.5" customHeight="1">
      <c r="A2183" s="3"/>
      <c r="B2183" s="3"/>
      <c r="C2183" s="3"/>
      <c r="D2183" s="3"/>
      <c r="E2183" s="3"/>
      <c r="F2183" s="3"/>
      <c r="G2183" s="3"/>
      <c r="H2183" s="3"/>
      <c r="I2183" s="3"/>
      <c r="J2183" s="3"/>
      <c r="K2183" s="3"/>
      <c r="L2183" s="3"/>
      <c r="M2183" s="3"/>
      <c r="N2183" s="3"/>
    </row>
    <row r="2184" spans="1:14" ht="16.5" customHeight="1">
      <c r="A2184" s="3"/>
      <c r="B2184" s="3"/>
      <c r="C2184" s="3"/>
      <c r="D2184" s="3"/>
      <c r="E2184" s="3"/>
      <c r="F2184" s="3"/>
      <c r="G2184" s="3"/>
      <c r="H2184" s="3"/>
      <c r="I2184" s="3"/>
      <c r="J2184" s="3"/>
      <c r="K2184" s="3"/>
      <c r="L2184" s="3"/>
      <c r="M2184" s="3"/>
      <c r="N2184" s="3"/>
    </row>
    <row r="2185" spans="1:14" ht="16.5" customHeight="1">
      <c r="A2185" s="3"/>
      <c r="B2185" s="3"/>
      <c r="C2185" s="3"/>
      <c r="D2185" s="3"/>
      <c r="E2185" s="3"/>
      <c r="F2185" s="3"/>
      <c r="G2185" s="3"/>
      <c r="H2185" s="3"/>
      <c r="I2185" s="3"/>
      <c r="J2185" s="3"/>
      <c r="K2185" s="3"/>
      <c r="L2185" s="3"/>
      <c r="M2185" s="3"/>
      <c r="N2185" s="3"/>
    </row>
    <row r="2186" spans="1:14" ht="16.5" customHeight="1">
      <c r="A2186" s="3"/>
      <c r="B2186" s="3"/>
      <c r="C2186" s="3"/>
      <c r="D2186" s="3"/>
      <c r="E2186" s="3"/>
      <c r="F2186" s="3"/>
      <c r="G2186" s="3"/>
      <c r="H2186" s="3"/>
      <c r="I2186" s="3"/>
      <c r="J2186" s="3"/>
      <c r="K2186" s="3"/>
      <c r="L2186" s="3"/>
      <c r="M2186" s="3"/>
      <c r="N2186" s="3"/>
    </row>
    <row r="2187" spans="1:14" ht="16.5" customHeight="1">
      <c r="A2187" s="3"/>
      <c r="B2187" s="3"/>
      <c r="C2187" s="3"/>
      <c r="D2187" s="3"/>
      <c r="E2187" s="3"/>
      <c r="F2187" s="3"/>
      <c r="G2187" s="3"/>
      <c r="H2187" s="3"/>
      <c r="I2187" s="3"/>
      <c r="J2187" s="3"/>
      <c r="K2187" s="3"/>
      <c r="L2187" s="3"/>
      <c r="M2187" s="3"/>
      <c r="N2187" s="3"/>
    </row>
    <row r="2188" spans="1:14" ht="16.5" customHeight="1">
      <c r="A2188" s="3"/>
      <c r="B2188" s="3"/>
      <c r="C2188" s="3"/>
      <c r="D2188" s="3"/>
      <c r="E2188" s="3"/>
      <c r="F2188" s="3"/>
      <c r="G2188" s="3"/>
      <c r="H2188" s="3"/>
      <c r="I2188" s="3"/>
      <c r="J2188" s="3"/>
      <c r="K2188" s="3"/>
      <c r="L2188" s="3"/>
      <c r="M2188" s="3"/>
      <c r="N2188" s="3"/>
    </row>
    <row r="2189" spans="1:14" ht="16.5" customHeight="1">
      <c r="A2189" s="3"/>
      <c r="B2189" s="3"/>
      <c r="C2189" s="3"/>
      <c r="D2189" s="3"/>
      <c r="E2189" s="3"/>
      <c r="F2189" s="3"/>
      <c r="G2189" s="3"/>
      <c r="H2189" s="3"/>
      <c r="I2189" s="3"/>
      <c r="J2189" s="3"/>
      <c r="K2189" s="3"/>
      <c r="L2189" s="3"/>
      <c r="M2189" s="3"/>
      <c r="N2189" s="3"/>
    </row>
    <row r="2190" spans="1:14" ht="16.5" customHeight="1">
      <c r="A2190" s="3"/>
      <c r="B2190" s="3"/>
      <c r="C2190" s="3"/>
      <c r="D2190" s="3"/>
      <c r="E2190" s="3"/>
      <c r="F2190" s="3"/>
      <c r="G2190" s="3"/>
      <c r="H2190" s="3"/>
      <c r="I2190" s="3"/>
      <c r="J2190" s="3"/>
      <c r="K2190" s="3"/>
      <c r="L2190" s="3"/>
      <c r="M2190" s="3"/>
      <c r="N2190" s="3"/>
    </row>
    <row r="2191" spans="1:14" ht="16.5" customHeight="1">
      <c r="A2191" s="3"/>
      <c r="B2191" s="3"/>
      <c r="C2191" s="3"/>
      <c r="D2191" s="3"/>
      <c r="E2191" s="3"/>
      <c r="F2191" s="3"/>
      <c r="G2191" s="3"/>
      <c r="H2191" s="3"/>
      <c r="I2191" s="3"/>
      <c r="J2191" s="3"/>
      <c r="K2191" s="3"/>
      <c r="L2191" s="3"/>
      <c r="M2191" s="3"/>
      <c r="N2191" s="3"/>
    </row>
    <row r="2192" spans="1:14" ht="16.5" customHeight="1">
      <c r="A2192" s="3"/>
      <c r="B2192" s="3"/>
      <c r="C2192" s="3"/>
      <c r="D2192" s="3"/>
      <c r="E2192" s="3"/>
      <c r="F2192" s="3"/>
      <c r="G2192" s="3"/>
      <c r="H2192" s="3"/>
      <c r="I2192" s="3"/>
      <c r="J2192" s="3"/>
      <c r="K2192" s="3"/>
      <c r="L2192" s="3"/>
      <c r="M2192" s="3"/>
      <c r="N2192" s="3"/>
    </row>
    <row r="2193" spans="1:14" ht="16.5" customHeight="1">
      <c r="A2193" s="3"/>
      <c r="B2193" s="3"/>
      <c r="C2193" s="3"/>
      <c r="D2193" s="3"/>
      <c r="E2193" s="3"/>
      <c r="F2193" s="3"/>
      <c r="G2193" s="3"/>
      <c r="H2193" s="3"/>
      <c r="I2193" s="3"/>
      <c r="J2193" s="3"/>
      <c r="K2193" s="3"/>
      <c r="L2193" s="3"/>
      <c r="M2193" s="3"/>
      <c r="N2193" s="3"/>
    </row>
    <row r="2194" spans="1:14" ht="16.5" customHeight="1">
      <c r="A2194" s="3"/>
      <c r="B2194" s="3"/>
      <c r="C2194" s="3"/>
      <c r="D2194" s="3"/>
      <c r="E2194" s="3"/>
      <c r="F2194" s="3"/>
      <c r="G2194" s="3"/>
      <c r="H2194" s="3"/>
      <c r="I2194" s="3"/>
      <c r="J2194" s="3"/>
      <c r="K2194" s="3"/>
      <c r="L2194" s="3"/>
      <c r="M2194" s="3"/>
      <c r="N2194" s="3"/>
    </row>
    <row r="2195" spans="1:14" ht="16.5" customHeight="1">
      <c r="A2195" s="3"/>
      <c r="B2195" s="3"/>
      <c r="C2195" s="3"/>
      <c r="D2195" s="3"/>
      <c r="E2195" s="3"/>
      <c r="F2195" s="3"/>
      <c r="G2195" s="3"/>
      <c r="H2195" s="3"/>
      <c r="I2195" s="3"/>
      <c r="J2195" s="3"/>
      <c r="K2195" s="3"/>
      <c r="L2195" s="3"/>
      <c r="M2195" s="3"/>
      <c r="N2195" s="3"/>
    </row>
    <row r="2196" spans="1:14" ht="16.5" customHeight="1">
      <c r="A2196" s="3"/>
      <c r="B2196" s="3"/>
      <c r="C2196" s="3"/>
      <c r="D2196" s="3"/>
      <c r="E2196" s="3"/>
      <c r="F2196" s="3"/>
      <c r="G2196" s="3"/>
      <c r="H2196" s="3"/>
      <c r="I2196" s="3"/>
      <c r="J2196" s="3"/>
      <c r="K2196" s="3"/>
      <c r="L2196" s="3"/>
      <c r="M2196" s="3"/>
      <c r="N2196" s="3"/>
    </row>
    <row r="2197" spans="1:14" ht="16.5" customHeight="1">
      <c r="A2197" s="3"/>
      <c r="B2197" s="3"/>
      <c r="C2197" s="3"/>
      <c r="D2197" s="3"/>
      <c r="E2197" s="3"/>
      <c r="F2197" s="3"/>
      <c r="G2197" s="3"/>
      <c r="H2197" s="3"/>
      <c r="I2197" s="3"/>
      <c r="J2197" s="3"/>
      <c r="K2197" s="3"/>
      <c r="L2197" s="3"/>
      <c r="M2197" s="3"/>
      <c r="N2197" s="3"/>
    </row>
    <row r="2198" spans="1:14" ht="16.5" customHeight="1">
      <c r="A2198" s="3"/>
      <c r="B2198" s="3"/>
      <c r="C2198" s="3"/>
      <c r="D2198" s="3"/>
      <c r="E2198" s="3"/>
      <c r="F2198" s="3"/>
      <c r="G2198" s="3"/>
      <c r="H2198" s="3"/>
      <c r="I2198" s="3"/>
      <c r="J2198" s="3"/>
      <c r="K2198" s="3"/>
      <c r="L2198" s="3"/>
      <c r="M2198" s="3"/>
      <c r="N2198" s="3"/>
    </row>
    <row r="2199" spans="1:14" ht="16.5" customHeight="1">
      <c r="A2199" s="3"/>
      <c r="B2199" s="3"/>
      <c r="C2199" s="3"/>
      <c r="D2199" s="3"/>
      <c r="E2199" s="3"/>
      <c r="F2199" s="3"/>
      <c r="G2199" s="3"/>
      <c r="H2199" s="3"/>
      <c r="I2199" s="3"/>
      <c r="J2199" s="3"/>
      <c r="K2199" s="3"/>
      <c r="L2199" s="3"/>
      <c r="M2199" s="3"/>
      <c r="N2199" s="3"/>
    </row>
    <row r="2200" spans="1:14" ht="16.5" customHeight="1">
      <c r="A2200" s="3"/>
      <c r="B2200" s="3"/>
      <c r="C2200" s="3"/>
      <c r="D2200" s="3"/>
      <c r="E2200" s="3"/>
      <c r="F2200" s="3"/>
      <c r="G2200" s="3"/>
      <c r="H2200" s="3"/>
      <c r="I2200" s="3"/>
      <c r="J2200" s="3"/>
      <c r="K2200" s="3"/>
      <c r="L2200" s="3"/>
      <c r="M2200" s="3"/>
      <c r="N2200" s="3"/>
    </row>
    <row r="2201" spans="1:14" ht="16.5" customHeight="1">
      <c r="A2201" s="3"/>
      <c r="B2201" s="3"/>
      <c r="C2201" s="3"/>
      <c r="D2201" s="3"/>
      <c r="E2201" s="3"/>
      <c r="F2201" s="3"/>
      <c r="G2201" s="3"/>
      <c r="H2201" s="3"/>
      <c r="I2201" s="3"/>
      <c r="J2201" s="3"/>
      <c r="K2201" s="3"/>
      <c r="L2201" s="3"/>
      <c r="M2201" s="3"/>
      <c r="N2201" s="3"/>
    </row>
    <row r="2202" spans="1:14" ht="16.5" customHeight="1">
      <c r="A2202" s="3"/>
      <c r="B2202" s="3"/>
      <c r="C2202" s="3"/>
      <c r="D2202" s="3"/>
      <c r="E2202" s="3"/>
      <c r="F2202" s="3"/>
      <c r="G2202" s="3"/>
      <c r="H2202" s="3"/>
      <c r="I2202" s="3"/>
      <c r="J2202" s="3"/>
      <c r="K2202" s="3"/>
      <c r="L2202" s="3"/>
      <c r="M2202" s="3"/>
      <c r="N2202" s="3"/>
    </row>
    <row r="2203" spans="1:14" ht="16.5" customHeight="1">
      <c r="A2203" s="3"/>
      <c r="B2203" s="3"/>
      <c r="C2203" s="3"/>
      <c r="D2203" s="3"/>
      <c r="E2203" s="3"/>
      <c r="F2203" s="3"/>
      <c r="G2203" s="3"/>
      <c r="H2203" s="3"/>
      <c r="I2203" s="3"/>
      <c r="J2203" s="3"/>
      <c r="K2203" s="3"/>
      <c r="L2203" s="3"/>
      <c r="M2203" s="3"/>
      <c r="N2203" s="3"/>
    </row>
    <row r="2204" spans="1:14" ht="16.5" customHeight="1">
      <c r="A2204" s="3"/>
      <c r="B2204" s="3"/>
      <c r="C2204" s="3"/>
      <c r="D2204" s="3"/>
      <c r="E2204" s="3"/>
      <c r="F2204" s="3"/>
      <c r="G2204" s="3"/>
      <c r="H2204" s="3"/>
      <c r="I2204" s="3"/>
      <c r="J2204" s="3"/>
      <c r="K2204" s="3"/>
      <c r="L2204" s="3"/>
      <c r="M2204" s="3"/>
      <c r="N2204" s="3"/>
    </row>
    <row r="2205" spans="1:14" ht="16.5" customHeight="1">
      <c r="A2205" s="3"/>
      <c r="B2205" s="3"/>
      <c r="C2205" s="3"/>
      <c r="D2205" s="3"/>
      <c r="E2205" s="3"/>
      <c r="F2205" s="3"/>
      <c r="G2205" s="3"/>
      <c r="H2205" s="3"/>
      <c r="I2205" s="3"/>
      <c r="J2205" s="3"/>
      <c r="K2205" s="3"/>
      <c r="L2205" s="3"/>
      <c r="M2205" s="3"/>
      <c r="N2205" s="3"/>
    </row>
    <row r="2206" spans="1:14" ht="16.5" customHeight="1">
      <c r="A2206" s="3"/>
      <c r="B2206" s="3"/>
      <c r="C2206" s="3"/>
      <c r="D2206" s="3"/>
      <c r="E2206" s="3"/>
      <c r="F2206" s="3"/>
      <c r="G2206" s="3"/>
      <c r="H2206" s="3"/>
      <c r="I2206" s="3"/>
      <c r="J2206" s="3"/>
      <c r="K2206" s="3"/>
      <c r="L2206" s="3"/>
      <c r="M2206" s="3"/>
      <c r="N2206" s="3"/>
    </row>
    <row r="2207" spans="1:14" ht="16.5" customHeight="1">
      <c r="A2207" s="3"/>
      <c r="B2207" s="3"/>
      <c r="C2207" s="3"/>
      <c r="D2207" s="3"/>
      <c r="E2207" s="3"/>
      <c r="F2207" s="3"/>
      <c r="G2207" s="3"/>
      <c r="H2207" s="3"/>
      <c r="I2207" s="3"/>
      <c r="J2207" s="3"/>
      <c r="K2207" s="3"/>
      <c r="L2207" s="3"/>
      <c r="M2207" s="3"/>
      <c r="N2207" s="3"/>
    </row>
    <row r="2208" spans="1:14" ht="16.5" customHeight="1">
      <c r="A2208" s="3"/>
      <c r="B2208" s="3"/>
      <c r="C2208" s="3"/>
      <c r="D2208" s="3"/>
      <c r="E2208" s="3"/>
      <c r="F2208" s="3"/>
      <c r="G2208" s="3"/>
      <c r="H2208" s="3"/>
      <c r="I2208" s="3"/>
      <c r="J2208" s="3"/>
      <c r="K2208" s="3"/>
      <c r="L2208" s="3"/>
      <c r="M2208" s="3"/>
      <c r="N2208" s="3"/>
    </row>
    <row r="2209" spans="1:14" ht="16.5" customHeight="1">
      <c r="A2209" s="3"/>
      <c r="B2209" s="3"/>
      <c r="C2209" s="3"/>
      <c r="D2209" s="3"/>
      <c r="E2209" s="3"/>
      <c r="F2209" s="3"/>
      <c r="G2209" s="3"/>
      <c r="H2209" s="3"/>
      <c r="I2209" s="3"/>
      <c r="J2209" s="3"/>
      <c r="K2209" s="3"/>
      <c r="L2209" s="3"/>
      <c r="M2209" s="3"/>
      <c r="N2209" s="3"/>
    </row>
    <row r="2210" spans="1:14" ht="16.5" customHeight="1">
      <c r="A2210" s="3"/>
      <c r="B2210" s="3"/>
      <c r="C2210" s="3"/>
      <c r="D2210" s="3"/>
      <c r="E2210" s="3"/>
      <c r="F2210" s="3"/>
      <c r="G2210" s="3"/>
      <c r="H2210" s="3"/>
      <c r="I2210" s="3"/>
      <c r="J2210" s="3"/>
      <c r="K2210" s="3"/>
      <c r="L2210" s="3"/>
      <c r="M2210" s="3"/>
      <c r="N2210" s="3"/>
    </row>
    <row r="2211" spans="1:14" ht="16.5" customHeight="1">
      <c r="A2211" s="3"/>
      <c r="B2211" s="3"/>
      <c r="C2211" s="3"/>
      <c r="D2211" s="3"/>
      <c r="E2211" s="3"/>
      <c r="F2211" s="3"/>
      <c r="G2211" s="3"/>
      <c r="H2211" s="3"/>
      <c r="I2211" s="3"/>
      <c r="J2211" s="3"/>
      <c r="K2211" s="3"/>
      <c r="L2211" s="3"/>
      <c r="M2211" s="3"/>
      <c r="N2211" s="3"/>
    </row>
    <row r="2212" spans="1:14" ht="16.5" customHeight="1">
      <c r="A2212" s="3"/>
      <c r="B2212" s="3"/>
      <c r="C2212" s="3"/>
      <c r="D2212" s="3"/>
      <c r="E2212" s="3"/>
      <c r="F2212" s="3"/>
      <c r="G2212" s="3"/>
      <c r="H2212" s="3"/>
      <c r="I2212" s="3"/>
      <c r="J2212" s="3"/>
      <c r="K2212" s="3"/>
      <c r="L2212" s="3"/>
      <c r="M2212" s="3"/>
      <c r="N2212" s="3"/>
    </row>
    <row r="2213" spans="1:14" ht="16.5" customHeight="1">
      <c r="A2213" s="3"/>
      <c r="B2213" s="3"/>
      <c r="C2213" s="3"/>
      <c r="D2213" s="3"/>
      <c r="E2213" s="3"/>
      <c r="F2213" s="3"/>
      <c r="G2213" s="3"/>
      <c r="H2213" s="3"/>
      <c r="I2213" s="3"/>
      <c r="J2213" s="3"/>
      <c r="K2213" s="3"/>
      <c r="L2213" s="3"/>
      <c r="M2213" s="3"/>
      <c r="N2213" s="3"/>
    </row>
    <row r="2214" spans="1:14" ht="16.5" customHeight="1">
      <c r="A2214" s="3"/>
      <c r="B2214" s="3"/>
      <c r="C2214" s="3"/>
      <c r="D2214" s="3"/>
      <c r="E2214" s="3"/>
      <c r="F2214" s="3"/>
      <c r="G2214" s="3"/>
      <c r="H2214" s="3"/>
      <c r="I2214" s="3"/>
      <c r="J2214" s="3"/>
      <c r="K2214" s="3"/>
      <c r="L2214" s="3"/>
      <c r="M2214" s="3"/>
      <c r="N2214" s="3"/>
    </row>
    <row r="2215" spans="1:14" ht="16.5" customHeight="1">
      <c r="A2215" s="3"/>
      <c r="B2215" s="3"/>
      <c r="C2215" s="3"/>
      <c r="D2215" s="3"/>
      <c r="E2215" s="3"/>
      <c r="F2215" s="3"/>
      <c r="G2215" s="3"/>
      <c r="H2215" s="3"/>
      <c r="I2215" s="3"/>
      <c r="J2215" s="3"/>
      <c r="K2215" s="3"/>
      <c r="L2215" s="3"/>
      <c r="M2215" s="3"/>
      <c r="N2215" s="3"/>
    </row>
    <row r="2216" spans="1:14" ht="16.5" customHeight="1">
      <c r="A2216" s="3"/>
      <c r="B2216" s="3"/>
      <c r="C2216" s="3"/>
      <c r="D2216" s="3"/>
      <c r="E2216" s="3"/>
      <c r="F2216" s="3"/>
      <c r="G2216" s="3"/>
      <c r="H2216" s="3"/>
      <c r="I2216" s="3"/>
      <c r="J2216" s="3"/>
      <c r="K2216" s="3"/>
      <c r="L2216" s="3"/>
      <c r="M2216" s="3"/>
      <c r="N2216" s="3"/>
    </row>
    <row r="2217" spans="1:14" ht="16.5" customHeight="1">
      <c r="A2217" s="3"/>
      <c r="B2217" s="3"/>
      <c r="C2217" s="3"/>
      <c r="D2217" s="3"/>
      <c r="E2217" s="3"/>
      <c r="F2217" s="3"/>
      <c r="G2217" s="3"/>
      <c r="H2217" s="3"/>
      <c r="I2217" s="3"/>
      <c r="J2217" s="3"/>
      <c r="K2217" s="3"/>
      <c r="L2217" s="3"/>
      <c r="M2217" s="3"/>
      <c r="N2217" s="3"/>
    </row>
    <row r="2218" spans="1:14" ht="16.5" customHeight="1">
      <c r="A2218" s="3"/>
      <c r="B2218" s="3"/>
      <c r="C2218" s="3"/>
      <c r="D2218" s="3"/>
      <c r="E2218" s="3"/>
      <c r="F2218" s="3"/>
      <c r="G2218" s="3"/>
      <c r="H2218" s="3"/>
      <c r="I2218" s="3"/>
      <c r="J2218" s="3"/>
      <c r="K2218" s="3"/>
      <c r="L2218" s="3"/>
      <c r="M2218" s="3"/>
      <c r="N2218" s="3"/>
    </row>
    <row r="2219" spans="1:14" ht="16.5" customHeight="1">
      <c r="A2219" s="3"/>
      <c r="B2219" s="3"/>
      <c r="C2219" s="3"/>
      <c r="D2219" s="3"/>
      <c r="E2219" s="3"/>
      <c r="F2219" s="3"/>
      <c r="G2219" s="3"/>
      <c r="H2219" s="3"/>
      <c r="I2219" s="3"/>
      <c r="J2219" s="3"/>
      <c r="K2219" s="3"/>
      <c r="L2219" s="3"/>
      <c r="M2219" s="3"/>
      <c r="N2219" s="3"/>
    </row>
    <row r="2220" spans="1:14" ht="16.5" customHeight="1">
      <c r="A2220" s="3"/>
      <c r="B2220" s="3"/>
      <c r="C2220" s="3"/>
      <c r="D2220" s="3"/>
      <c r="E2220" s="3"/>
      <c r="F2220" s="3"/>
      <c r="G2220" s="3"/>
      <c r="H2220" s="3"/>
      <c r="I2220" s="3"/>
      <c r="J2220" s="3"/>
      <c r="K2220" s="3"/>
      <c r="L2220" s="3"/>
      <c r="M2220" s="3"/>
      <c r="N2220" s="3"/>
    </row>
    <row r="2221" spans="1:14" ht="16.5" customHeight="1">
      <c r="A2221" s="3"/>
      <c r="B2221" s="3"/>
      <c r="C2221" s="3"/>
      <c r="D2221" s="3"/>
      <c r="E2221" s="3"/>
      <c r="F2221" s="3"/>
      <c r="G2221" s="3"/>
      <c r="H2221" s="3"/>
      <c r="I2221" s="3"/>
      <c r="J2221" s="3"/>
      <c r="K2221" s="3"/>
      <c r="L2221" s="3"/>
      <c r="M2221" s="3"/>
      <c r="N2221" s="3"/>
    </row>
    <row r="2222" spans="1:14" ht="16.5" customHeight="1">
      <c r="A2222" s="3"/>
      <c r="B2222" s="3"/>
      <c r="C2222" s="3"/>
      <c r="D2222" s="3"/>
      <c r="E2222" s="3"/>
      <c r="F2222" s="3"/>
      <c r="G2222" s="3"/>
      <c r="H2222" s="3"/>
      <c r="I2222" s="3"/>
      <c r="J2222" s="3"/>
      <c r="K2222" s="3"/>
      <c r="L2222" s="3"/>
      <c r="M2222" s="3"/>
      <c r="N2222" s="3"/>
    </row>
    <row r="2223" spans="1:14" ht="16.5" customHeight="1">
      <c r="A2223" s="3"/>
      <c r="B2223" s="3"/>
      <c r="C2223" s="3"/>
      <c r="D2223" s="3"/>
      <c r="E2223" s="3"/>
      <c r="F2223" s="3"/>
      <c r="G2223" s="3"/>
      <c r="H2223" s="3"/>
      <c r="I2223" s="3"/>
      <c r="J2223" s="3"/>
      <c r="K2223" s="3"/>
      <c r="L2223" s="3"/>
      <c r="M2223" s="3"/>
      <c r="N2223" s="3"/>
    </row>
    <row r="2224" spans="1:14" ht="16.5" customHeight="1">
      <c r="A2224" s="3"/>
      <c r="B2224" s="3"/>
      <c r="C2224" s="3"/>
      <c r="D2224" s="3"/>
      <c r="E2224" s="3"/>
      <c r="F2224" s="3"/>
      <c r="G2224" s="3"/>
      <c r="H2224" s="3"/>
      <c r="I2224" s="3"/>
      <c r="J2224" s="3"/>
      <c r="K2224" s="3"/>
      <c r="L2224" s="3"/>
      <c r="M2224" s="3"/>
      <c r="N2224" s="3"/>
    </row>
    <row r="2225" spans="1:14" ht="16.5" customHeight="1">
      <c r="A2225" s="3"/>
      <c r="B2225" s="3"/>
      <c r="C2225" s="3"/>
      <c r="D2225" s="3"/>
      <c r="E2225" s="3"/>
      <c r="F2225" s="3"/>
      <c r="G2225" s="3"/>
      <c r="H2225" s="3"/>
      <c r="I2225" s="3"/>
      <c r="J2225" s="3"/>
      <c r="K2225" s="3"/>
      <c r="L2225" s="3"/>
      <c r="M2225" s="3"/>
      <c r="N2225" s="3"/>
    </row>
    <row r="2226" spans="1:14" ht="16.5" customHeight="1">
      <c r="A2226" s="3"/>
      <c r="B2226" s="3"/>
      <c r="C2226" s="3"/>
      <c r="D2226" s="3"/>
      <c r="E2226" s="3"/>
      <c r="F2226" s="3"/>
      <c r="G2226" s="3"/>
      <c r="H2226" s="3"/>
      <c r="I2226" s="3"/>
      <c r="J2226" s="3"/>
      <c r="K2226" s="3"/>
      <c r="L2226" s="3"/>
      <c r="M2226" s="3"/>
      <c r="N2226" s="3"/>
    </row>
    <row r="2227" spans="1:14" ht="16.5" customHeight="1">
      <c r="A2227" s="3"/>
      <c r="B2227" s="3"/>
      <c r="C2227" s="3"/>
      <c r="D2227" s="3"/>
      <c r="E2227" s="3"/>
      <c r="F2227" s="3"/>
      <c r="G2227" s="3"/>
      <c r="H2227" s="3"/>
      <c r="I2227" s="3"/>
      <c r="J2227" s="3"/>
      <c r="K2227" s="3"/>
      <c r="L2227" s="3"/>
      <c r="M2227" s="3"/>
      <c r="N2227" s="3"/>
    </row>
    <row r="2228" spans="1:14" ht="16.5" customHeight="1">
      <c r="A2228" s="3"/>
      <c r="B2228" s="3"/>
      <c r="C2228" s="3"/>
      <c r="D2228" s="3"/>
      <c r="E2228" s="3"/>
      <c r="F2228" s="3"/>
      <c r="G2228" s="3"/>
      <c r="H2228" s="3"/>
      <c r="I2228" s="3"/>
      <c r="J2228" s="3"/>
      <c r="K2228" s="3"/>
      <c r="L2228" s="3"/>
      <c r="M2228" s="3"/>
      <c r="N2228" s="3"/>
    </row>
    <row r="2229" spans="1:14" ht="16.5" customHeight="1">
      <c r="A2229" s="3"/>
      <c r="B2229" s="3"/>
      <c r="C2229" s="3"/>
      <c r="D2229" s="3"/>
      <c r="E2229" s="3"/>
      <c r="F2229" s="3"/>
      <c r="G2229" s="3"/>
      <c r="H2229" s="3"/>
      <c r="I2229" s="3"/>
      <c r="J2229" s="3"/>
      <c r="K2229" s="3"/>
      <c r="L2229" s="3"/>
      <c r="M2229" s="3"/>
      <c r="N2229" s="3"/>
    </row>
    <row r="2230" spans="1:14" ht="16.5" customHeight="1">
      <c r="A2230" s="3"/>
      <c r="B2230" s="3"/>
      <c r="C2230" s="3"/>
      <c r="D2230" s="3"/>
      <c r="E2230" s="3"/>
      <c r="F2230" s="3"/>
      <c r="G2230" s="3"/>
      <c r="H2230" s="3"/>
      <c r="I2230" s="3"/>
      <c r="J2230" s="3"/>
      <c r="K2230" s="3"/>
      <c r="L2230" s="3"/>
      <c r="M2230" s="3"/>
      <c r="N2230" s="3"/>
    </row>
    <row r="2231" spans="1:14" ht="16.5" customHeight="1">
      <c r="A2231" s="3"/>
      <c r="B2231" s="3"/>
      <c r="C2231" s="3"/>
      <c r="D2231" s="3"/>
      <c r="E2231" s="3"/>
      <c r="F2231" s="3"/>
      <c r="G2231" s="3"/>
      <c r="H2231" s="3"/>
      <c r="I2231" s="3"/>
      <c r="J2231" s="3"/>
      <c r="K2231" s="3"/>
      <c r="L2231" s="3"/>
      <c r="M2231" s="3"/>
      <c r="N2231" s="3"/>
    </row>
    <row r="2232" spans="1:14" ht="16.5" customHeight="1">
      <c r="A2232" s="3"/>
      <c r="B2232" s="3"/>
      <c r="C2232" s="3"/>
      <c r="D2232" s="3"/>
      <c r="E2232" s="3"/>
      <c r="F2232" s="3"/>
      <c r="G2232" s="3"/>
      <c r="H2232" s="3"/>
      <c r="I2232" s="3"/>
      <c r="J2232" s="3"/>
      <c r="K2232" s="3"/>
      <c r="L2232" s="3"/>
      <c r="M2232" s="3"/>
      <c r="N2232" s="3"/>
    </row>
    <row r="2233" spans="1:14" ht="16.5" customHeight="1">
      <c r="A2233" s="3"/>
      <c r="B2233" s="3"/>
      <c r="C2233" s="3"/>
      <c r="D2233" s="3"/>
      <c r="E2233" s="3"/>
      <c r="F2233" s="3"/>
      <c r="G2233" s="3"/>
      <c r="H2233" s="3"/>
      <c r="I2233" s="3"/>
      <c r="J2233" s="3"/>
      <c r="K2233" s="3"/>
      <c r="L2233" s="3"/>
      <c r="M2233" s="3"/>
      <c r="N2233" s="3"/>
    </row>
    <row r="2234" spans="1:14" ht="16.5" customHeight="1">
      <c r="A2234" s="3"/>
      <c r="B2234" s="3"/>
      <c r="C2234" s="3"/>
      <c r="D2234" s="3"/>
      <c r="E2234" s="3"/>
      <c r="F2234" s="3"/>
      <c r="G2234" s="3"/>
      <c r="H2234" s="3"/>
      <c r="I2234" s="3"/>
      <c r="J2234" s="3"/>
      <c r="K2234" s="3"/>
      <c r="L2234" s="3"/>
      <c r="M2234" s="3"/>
      <c r="N2234" s="3"/>
    </row>
    <row r="2235" spans="1:14" ht="16.5" customHeight="1">
      <c r="A2235" s="3"/>
      <c r="B2235" s="3"/>
      <c r="C2235" s="3"/>
      <c r="D2235" s="3"/>
      <c r="E2235" s="3"/>
      <c r="F2235" s="3"/>
      <c r="G2235" s="3"/>
      <c r="H2235" s="3"/>
      <c r="I2235" s="3"/>
      <c r="J2235" s="3"/>
      <c r="K2235" s="3"/>
      <c r="L2235" s="3"/>
      <c r="M2235" s="3"/>
      <c r="N2235" s="3"/>
    </row>
    <row r="2236" spans="1:14" ht="16.5" customHeight="1">
      <c r="A2236" s="3"/>
      <c r="B2236" s="3"/>
      <c r="C2236" s="3"/>
      <c r="D2236" s="3"/>
      <c r="E2236" s="3"/>
      <c r="F2236" s="3"/>
      <c r="G2236" s="3"/>
      <c r="H2236" s="3"/>
      <c r="I2236" s="3"/>
      <c r="J2236" s="3"/>
      <c r="K2236" s="3"/>
      <c r="L2236" s="3"/>
      <c r="M2236" s="3"/>
      <c r="N2236" s="3"/>
    </row>
    <row r="2237" spans="1:14" ht="16.5" customHeight="1">
      <c r="A2237" s="3"/>
      <c r="B2237" s="3"/>
      <c r="C2237" s="3"/>
      <c r="D2237" s="3"/>
      <c r="E2237" s="3"/>
      <c r="F2237" s="3"/>
      <c r="G2237" s="3"/>
      <c r="H2237" s="3"/>
      <c r="I2237" s="3"/>
      <c r="J2237" s="3"/>
      <c r="K2237" s="3"/>
      <c r="L2237" s="3"/>
      <c r="M2237" s="3"/>
      <c r="N2237" s="3"/>
    </row>
    <row r="2238" spans="1:14" ht="16.5" customHeight="1">
      <c r="A2238" s="3"/>
      <c r="B2238" s="3"/>
      <c r="C2238" s="3"/>
      <c r="D2238" s="3"/>
      <c r="E2238" s="3"/>
      <c r="F2238" s="3"/>
      <c r="G2238" s="3"/>
      <c r="H2238" s="3"/>
      <c r="I2238" s="3"/>
      <c r="J2238" s="3"/>
      <c r="K2238" s="3"/>
      <c r="L2238" s="3"/>
      <c r="M2238" s="3"/>
      <c r="N2238" s="3"/>
    </row>
    <row r="2239" spans="1:14" ht="16.5" customHeight="1">
      <c r="A2239" s="3"/>
      <c r="B2239" s="3"/>
      <c r="C2239" s="3"/>
      <c r="D2239" s="3"/>
      <c r="E2239" s="3"/>
      <c r="F2239" s="3"/>
      <c r="G2239" s="3"/>
      <c r="H2239" s="3"/>
      <c r="I2239" s="3"/>
      <c r="J2239" s="3"/>
      <c r="K2239" s="3"/>
      <c r="L2239" s="3"/>
      <c r="M2239" s="3"/>
      <c r="N2239" s="3"/>
    </row>
    <row r="2240" spans="1:14" ht="16.5" customHeight="1">
      <c r="A2240" s="3"/>
      <c r="B2240" s="3"/>
      <c r="C2240" s="3"/>
      <c r="D2240" s="3"/>
      <c r="E2240" s="3"/>
      <c r="F2240" s="3"/>
      <c r="G2240" s="3"/>
      <c r="H2240" s="3"/>
      <c r="I2240" s="3"/>
      <c r="J2240" s="3"/>
      <c r="K2240" s="3"/>
      <c r="L2240" s="3"/>
      <c r="M2240" s="3"/>
      <c r="N2240" s="3"/>
    </row>
    <row r="2241" spans="1:14" ht="16.5" customHeight="1">
      <c r="A2241" s="3"/>
      <c r="B2241" s="3"/>
      <c r="C2241" s="3"/>
      <c r="D2241" s="3"/>
      <c r="E2241" s="3"/>
      <c r="F2241" s="3"/>
      <c r="G2241" s="3"/>
      <c r="H2241" s="3"/>
      <c r="I2241" s="3"/>
      <c r="J2241" s="3"/>
      <c r="K2241" s="3"/>
      <c r="L2241" s="3"/>
      <c r="M2241" s="3"/>
      <c r="N2241" s="3"/>
    </row>
    <row r="2242" spans="1:14" ht="16.5" customHeight="1">
      <c r="A2242" s="3"/>
      <c r="B2242" s="3"/>
      <c r="C2242" s="3"/>
      <c r="D2242" s="3"/>
      <c r="E2242" s="3"/>
      <c r="F2242" s="3"/>
      <c r="G2242" s="3"/>
      <c r="H2242" s="3"/>
      <c r="I2242" s="3"/>
      <c r="J2242" s="3"/>
      <c r="K2242" s="3"/>
      <c r="L2242" s="3"/>
      <c r="M2242" s="3"/>
      <c r="N2242" s="3"/>
    </row>
    <row r="2243" spans="1:14" ht="16.5" customHeight="1">
      <c r="A2243" s="3"/>
      <c r="B2243" s="3"/>
      <c r="C2243" s="3"/>
      <c r="D2243" s="3"/>
      <c r="E2243" s="3"/>
      <c r="F2243" s="3"/>
      <c r="G2243" s="3"/>
      <c r="H2243" s="3"/>
      <c r="I2243" s="3"/>
      <c r="J2243" s="3"/>
      <c r="K2243" s="3"/>
      <c r="L2243" s="3"/>
      <c r="M2243" s="3"/>
      <c r="N2243" s="3"/>
    </row>
    <row r="2244" spans="1:14" ht="16.5" customHeight="1">
      <c r="A2244" s="3"/>
      <c r="B2244" s="3"/>
      <c r="C2244" s="3"/>
      <c r="D2244" s="3"/>
      <c r="E2244" s="3"/>
      <c r="F2244" s="3"/>
      <c r="G2244" s="3"/>
      <c r="H2244" s="3"/>
      <c r="I2244" s="3"/>
      <c r="J2244" s="3"/>
      <c r="K2244" s="3"/>
      <c r="L2244" s="3"/>
      <c r="M2244" s="3"/>
      <c r="N2244" s="3"/>
    </row>
    <row r="2245" spans="1:14" ht="16.5" customHeight="1">
      <c r="A2245" s="3"/>
      <c r="B2245" s="3"/>
      <c r="C2245" s="3"/>
      <c r="D2245" s="3"/>
      <c r="E2245" s="3"/>
      <c r="F2245" s="3"/>
      <c r="G2245" s="3"/>
      <c r="H2245" s="3"/>
      <c r="I2245" s="3"/>
      <c r="J2245" s="3"/>
      <c r="K2245" s="3"/>
      <c r="L2245" s="3"/>
      <c r="M2245" s="3"/>
      <c r="N2245" s="3"/>
    </row>
    <row r="2246" spans="1:14" ht="16.5" customHeight="1">
      <c r="A2246" s="3"/>
      <c r="B2246" s="3"/>
      <c r="C2246" s="3"/>
      <c r="D2246" s="3"/>
      <c r="E2246" s="3"/>
      <c r="F2246" s="3"/>
      <c r="G2246" s="3"/>
      <c r="H2246" s="3"/>
      <c r="I2246" s="3"/>
      <c r="J2246" s="3"/>
      <c r="K2246" s="3"/>
      <c r="L2246" s="3"/>
      <c r="M2246" s="3"/>
      <c r="N2246" s="3"/>
    </row>
    <row r="2247" spans="1:14" ht="16.5" customHeight="1">
      <c r="A2247" s="3"/>
      <c r="B2247" s="3"/>
      <c r="C2247" s="3"/>
      <c r="D2247" s="3"/>
      <c r="E2247" s="3"/>
      <c r="F2247" s="3"/>
      <c r="G2247" s="3"/>
      <c r="H2247" s="3"/>
      <c r="I2247" s="3"/>
      <c r="J2247" s="3"/>
      <c r="K2247" s="3"/>
      <c r="L2247" s="3"/>
      <c r="M2247" s="3"/>
      <c r="N2247" s="3"/>
    </row>
    <row r="2248" spans="1:14" ht="16.5" customHeight="1">
      <c r="A2248" s="3"/>
      <c r="B2248" s="3"/>
      <c r="C2248" s="3"/>
      <c r="D2248" s="3"/>
      <c r="E2248" s="3"/>
      <c r="F2248" s="3"/>
      <c r="G2248" s="3"/>
      <c r="H2248" s="3"/>
      <c r="I2248" s="3"/>
      <c r="J2248" s="3"/>
      <c r="K2248" s="3"/>
      <c r="L2248" s="3"/>
      <c r="M2248" s="3"/>
      <c r="N2248" s="3"/>
    </row>
    <row r="2249" spans="1:14" ht="16.5" customHeight="1">
      <c r="A2249" s="3"/>
      <c r="B2249" s="3"/>
      <c r="C2249" s="3"/>
      <c r="D2249" s="3"/>
      <c r="E2249" s="3"/>
      <c r="F2249" s="3"/>
      <c r="G2249" s="3"/>
      <c r="H2249" s="3"/>
      <c r="I2249" s="3"/>
      <c r="J2249" s="3"/>
      <c r="K2249" s="3"/>
      <c r="L2249" s="3"/>
      <c r="M2249" s="3"/>
      <c r="N2249" s="3"/>
    </row>
    <row r="2250" spans="1:14" ht="16.5" customHeight="1">
      <c r="A2250" s="3"/>
      <c r="B2250" s="3"/>
      <c r="C2250" s="3"/>
      <c r="D2250" s="3"/>
      <c r="E2250" s="3"/>
      <c r="F2250" s="3"/>
      <c r="G2250" s="3"/>
      <c r="H2250" s="3"/>
      <c r="I2250" s="3"/>
      <c r="J2250" s="3"/>
      <c r="K2250" s="3"/>
      <c r="L2250" s="3"/>
      <c r="M2250" s="3"/>
      <c r="N2250" s="3"/>
    </row>
    <row r="2251" spans="1:14" ht="16.5" customHeight="1">
      <c r="A2251" s="3"/>
      <c r="B2251" s="3"/>
      <c r="C2251" s="3"/>
      <c r="D2251" s="3"/>
      <c r="E2251" s="3"/>
      <c r="F2251" s="3"/>
      <c r="G2251" s="3"/>
      <c r="H2251" s="3"/>
      <c r="I2251" s="3"/>
      <c r="J2251" s="3"/>
      <c r="K2251" s="3"/>
      <c r="L2251" s="3"/>
      <c r="M2251" s="3"/>
      <c r="N2251" s="3"/>
    </row>
    <row r="2252" spans="1:14" ht="16.5" customHeight="1">
      <c r="A2252" s="3"/>
      <c r="B2252" s="3"/>
      <c r="C2252" s="3"/>
      <c r="D2252" s="3"/>
      <c r="E2252" s="3"/>
      <c r="F2252" s="3"/>
      <c r="G2252" s="3"/>
      <c r="H2252" s="3"/>
      <c r="I2252" s="3"/>
      <c r="J2252" s="3"/>
      <c r="K2252" s="3"/>
      <c r="L2252" s="3"/>
      <c r="M2252" s="3"/>
      <c r="N2252" s="3"/>
    </row>
    <row r="2253" spans="1:14" ht="16.5" customHeight="1">
      <c r="A2253" s="3"/>
      <c r="B2253" s="3"/>
      <c r="C2253" s="3"/>
      <c r="D2253" s="3"/>
      <c r="E2253" s="3"/>
      <c r="F2253" s="3"/>
      <c r="G2253" s="3"/>
      <c r="H2253" s="3"/>
      <c r="I2253" s="3"/>
      <c r="J2253" s="3"/>
      <c r="K2253" s="3"/>
      <c r="L2253" s="3"/>
      <c r="M2253" s="3"/>
      <c r="N2253" s="3"/>
    </row>
    <row r="2254" spans="1:14" ht="16.5" customHeight="1">
      <c r="A2254" s="3"/>
      <c r="B2254" s="3"/>
      <c r="C2254" s="3"/>
      <c r="D2254" s="3"/>
      <c r="E2254" s="3"/>
      <c r="F2254" s="3"/>
      <c r="G2254" s="3"/>
      <c r="H2254" s="3"/>
      <c r="I2254" s="3"/>
      <c r="J2254" s="3"/>
      <c r="K2254" s="3"/>
      <c r="L2254" s="3"/>
      <c r="M2254" s="3"/>
      <c r="N2254" s="3"/>
    </row>
    <row r="2255" spans="1:14" ht="16.5" customHeight="1">
      <c r="A2255" s="3"/>
      <c r="B2255" s="3"/>
      <c r="C2255" s="3"/>
      <c r="D2255" s="3"/>
      <c r="E2255" s="3"/>
      <c r="F2255" s="3"/>
      <c r="G2255" s="3"/>
      <c r="H2255" s="3"/>
      <c r="I2255" s="3"/>
      <c r="J2255" s="3"/>
      <c r="K2255" s="3"/>
      <c r="L2255" s="3"/>
      <c r="M2255" s="3"/>
      <c r="N2255" s="3"/>
    </row>
    <row r="2256" spans="1:14" ht="16.5" customHeight="1">
      <c r="A2256" s="3"/>
      <c r="B2256" s="3"/>
      <c r="C2256" s="3"/>
      <c r="D2256" s="3"/>
      <c r="E2256" s="3"/>
      <c r="F2256" s="3"/>
      <c r="G2256" s="3"/>
      <c r="H2256" s="3"/>
      <c r="I2256" s="3"/>
      <c r="J2256" s="3"/>
      <c r="K2256" s="3"/>
      <c r="L2256" s="3"/>
      <c r="M2256" s="3"/>
      <c r="N2256" s="3"/>
    </row>
    <row r="2257" spans="1:14" ht="16.5" customHeight="1">
      <c r="A2257" s="3"/>
      <c r="B2257" s="3"/>
      <c r="C2257" s="3"/>
      <c r="D2257" s="3"/>
      <c r="E2257" s="3"/>
      <c r="F2257" s="3"/>
      <c r="G2257" s="3"/>
      <c r="H2257" s="3"/>
      <c r="I2257" s="3"/>
      <c r="J2257" s="3"/>
      <c r="K2257" s="3"/>
      <c r="L2257" s="3"/>
      <c r="M2257" s="3"/>
      <c r="N2257" s="3"/>
    </row>
    <row r="2258" spans="1:14" ht="16.5" customHeight="1">
      <c r="A2258" s="3"/>
      <c r="B2258" s="3"/>
      <c r="C2258" s="3"/>
      <c r="D2258" s="3"/>
      <c r="E2258" s="3"/>
      <c r="F2258" s="3"/>
      <c r="G2258" s="3"/>
      <c r="H2258" s="3"/>
      <c r="I2258" s="3"/>
      <c r="J2258" s="3"/>
      <c r="K2258" s="3"/>
      <c r="L2258" s="3"/>
      <c r="M2258" s="3"/>
      <c r="N2258" s="3"/>
    </row>
    <row r="2259" spans="1:14" ht="16.5" customHeight="1">
      <c r="A2259" s="3"/>
      <c r="B2259" s="3"/>
      <c r="C2259" s="3"/>
      <c r="D2259" s="3"/>
      <c r="E2259" s="3"/>
      <c r="F2259" s="3"/>
      <c r="G2259" s="3"/>
      <c r="H2259" s="3"/>
      <c r="I2259" s="3"/>
      <c r="J2259" s="3"/>
      <c r="K2259" s="3"/>
      <c r="L2259" s="3"/>
      <c r="M2259" s="3"/>
      <c r="N2259" s="3"/>
    </row>
    <row r="2260" spans="1:14" ht="16.5" customHeight="1">
      <c r="A2260" s="3"/>
      <c r="B2260" s="3"/>
      <c r="C2260" s="3"/>
      <c r="D2260" s="3"/>
      <c r="E2260" s="3"/>
      <c r="F2260" s="3"/>
      <c r="G2260" s="3"/>
      <c r="H2260" s="3"/>
      <c r="I2260" s="3"/>
      <c r="J2260" s="3"/>
      <c r="K2260" s="3"/>
      <c r="L2260" s="3"/>
      <c r="M2260" s="3"/>
      <c r="N2260" s="3"/>
    </row>
    <row r="2261" spans="1:14" ht="16.5" customHeight="1">
      <c r="A2261" s="3"/>
      <c r="B2261" s="3"/>
      <c r="C2261" s="3"/>
      <c r="D2261" s="3"/>
      <c r="E2261" s="3"/>
      <c r="F2261" s="3"/>
      <c r="G2261" s="3"/>
      <c r="H2261" s="3"/>
      <c r="I2261" s="3"/>
      <c r="J2261" s="3"/>
      <c r="K2261" s="3"/>
      <c r="L2261" s="3"/>
      <c r="M2261" s="3"/>
      <c r="N2261" s="3"/>
    </row>
    <row r="2262" spans="1:14" ht="16.5" customHeight="1">
      <c r="A2262" s="3"/>
      <c r="B2262" s="3"/>
      <c r="C2262" s="3"/>
      <c r="D2262" s="3"/>
      <c r="E2262" s="3"/>
      <c r="F2262" s="3"/>
      <c r="G2262" s="3"/>
      <c r="H2262" s="3"/>
      <c r="I2262" s="3"/>
      <c r="J2262" s="3"/>
      <c r="K2262" s="3"/>
      <c r="L2262" s="3"/>
      <c r="M2262" s="3"/>
      <c r="N2262" s="3"/>
    </row>
    <row r="2263" spans="1:14" ht="16.5" customHeight="1">
      <c r="A2263" s="3"/>
      <c r="B2263" s="3"/>
      <c r="C2263" s="3"/>
      <c r="D2263" s="3"/>
      <c r="E2263" s="3"/>
      <c r="F2263" s="3"/>
      <c r="G2263" s="3"/>
      <c r="H2263" s="3"/>
      <c r="I2263" s="3"/>
      <c r="J2263" s="3"/>
      <c r="K2263" s="3"/>
      <c r="L2263" s="3"/>
      <c r="M2263" s="3"/>
      <c r="N2263" s="3"/>
    </row>
    <row r="2264" spans="1:14" ht="16.5" customHeight="1">
      <c r="A2264" s="3"/>
      <c r="B2264" s="3"/>
      <c r="C2264" s="3"/>
      <c r="D2264" s="3"/>
      <c r="E2264" s="3"/>
      <c r="F2264" s="3"/>
      <c r="G2264" s="3"/>
      <c r="H2264" s="3"/>
      <c r="I2264" s="3"/>
      <c r="J2264" s="3"/>
      <c r="K2264" s="3"/>
      <c r="L2264" s="3"/>
      <c r="M2264" s="3"/>
      <c r="N2264" s="3"/>
    </row>
    <row r="2265" spans="1:14" ht="16.5" customHeight="1">
      <c r="A2265" s="3"/>
      <c r="B2265" s="3"/>
      <c r="C2265" s="3"/>
      <c r="D2265" s="3"/>
      <c r="E2265" s="3"/>
      <c r="F2265" s="3"/>
      <c r="G2265" s="3"/>
      <c r="H2265" s="3"/>
      <c r="I2265" s="3"/>
      <c r="J2265" s="3"/>
      <c r="K2265" s="3"/>
      <c r="L2265" s="3"/>
      <c r="M2265" s="3"/>
      <c r="N2265" s="3"/>
    </row>
    <row r="2266" spans="1:14" ht="16.5" customHeight="1">
      <c r="A2266" s="3"/>
      <c r="B2266" s="3"/>
      <c r="C2266" s="3"/>
      <c r="D2266" s="3"/>
      <c r="E2266" s="3"/>
      <c r="F2266" s="3"/>
      <c r="G2266" s="3"/>
      <c r="H2266" s="3"/>
      <c r="I2266" s="3"/>
      <c r="J2266" s="3"/>
      <c r="K2266" s="3"/>
      <c r="L2266" s="3"/>
      <c r="M2266" s="3"/>
      <c r="N2266" s="3"/>
    </row>
    <row r="2267" spans="1:14" ht="16.5" customHeight="1">
      <c r="A2267" s="3"/>
      <c r="B2267" s="3"/>
      <c r="C2267" s="3"/>
      <c r="D2267" s="3"/>
      <c r="E2267" s="3"/>
      <c r="F2267" s="3"/>
      <c r="G2267" s="3"/>
      <c r="H2267" s="3"/>
      <c r="I2267" s="3"/>
      <c r="J2267" s="3"/>
      <c r="K2267" s="3"/>
      <c r="L2267" s="3"/>
      <c r="M2267" s="3"/>
      <c r="N2267" s="3"/>
    </row>
    <row r="2268" spans="1:14" ht="16.5" customHeight="1">
      <c r="A2268" s="3"/>
      <c r="B2268" s="3"/>
      <c r="C2268" s="3"/>
      <c r="D2268" s="3"/>
      <c r="E2268" s="3"/>
      <c r="F2268" s="3"/>
      <c r="G2268" s="3"/>
      <c r="H2268" s="3"/>
      <c r="I2268" s="3"/>
      <c r="J2268" s="3"/>
      <c r="K2268" s="3"/>
      <c r="L2268" s="3"/>
      <c r="M2268" s="3"/>
      <c r="N2268" s="3"/>
    </row>
    <row r="2269" spans="1:14" ht="16.5" customHeight="1">
      <c r="A2269" s="3"/>
      <c r="B2269" s="3"/>
      <c r="C2269" s="3"/>
      <c r="D2269" s="3"/>
      <c r="E2269" s="3"/>
      <c r="F2269" s="3"/>
      <c r="G2269" s="3"/>
      <c r="H2269" s="3"/>
      <c r="I2269" s="3"/>
      <c r="J2269" s="3"/>
      <c r="K2269" s="3"/>
      <c r="L2269" s="3"/>
      <c r="M2269" s="3"/>
      <c r="N2269" s="3"/>
    </row>
    <row r="2270" spans="1:14" ht="16.5" customHeight="1">
      <c r="A2270" s="3"/>
      <c r="B2270" s="3"/>
      <c r="C2270" s="3"/>
      <c r="D2270" s="3"/>
      <c r="E2270" s="3"/>
      <c r="F2270" s="3"/>
      <c r="G2270" s="3"/>
      <c r="H2270" s="3"/>
      <c r="I2270" s="3"/>
      <c r="J2270" s="3"/>
      <c r="K2270" s="3"/>
      <c r="L2270" s="3"/>
      <c r="M2270" s="3"/>
      <c r="N2270" s="3"/>
    </row>
    <row r="2271" spans="1:14" ht="16.5" customHeight="1">
      <c r="A2271" s="3"/>
      <c r="B2271" s="3"/>
      <c r="C2271" s="3"/>
      <c r="D2271" s="3"/>
      <c r="E2271" s="3"/>
      <c r="F2271" s="3"/>
      <c r="G2271" s="3"/>
      <c r="H2271" s="3"/>
      <c r="I2271" s="3"/>
      <c r="J2271" s="3"/>
      <c r="K2271" s="3"/>
      <c r="L2271" s="3"/>
      <c r="M2271" s="3"/>
      <c r="N2271" s="3"/>
    </row>
    <row r="2272" spans="1:14" ht="16.5" customHeight="1">
      <c r="A2272" s="3"/>
      <c r="B2272" s="3"/>
      <c r="C2272" s="3"/>
      <c r="D2272" s="3"/>
      <c r="E2272" s="3"/>
      <c r="F2272" s="3"/>
      <c r="G2272" s="3"/>
      <c r="H2272" s="3"/>
      <c r="I2272" s="3"/>
      <c r="J2272" s="3"/>
      <c r="K2272" s="3"/>
      <c r="L2272" s="3"/>
      <c r="M2272" s="3"/>
      <c r="N2272" s="3"/>
    </row>
    <row r="2273" spans="1:14" ht="16.5" customHeight="1">
      <c r="A2273" s="3"/>
      <c r="B2273" s="3"/>
      <c r="C2273" s="3"/>
      <c r="D2273" s="3"/>
      <c r="E2273" s="3"/>
      <c r="F2273" s="3"/>
      <c r="G2273" s="3"/>
      <c r="H2273" s="3"/>
      <c r="I2273" s="3"/>
      <c r="J2273" s="3"/>
      <c r="K2273" s="3"/>
      <c r="L2273" s="3"/>
      <c r="M2273" s="3"/>
      <c r="N2273" s="3"/>
    </row>
    <row r="2274" spans="1:14" ht="16.5" customHeight="1">
      <c r="A2274" s="3"/>
      <c r="B2274" s="3"/>
      <c r="C2274" s="3"/>
      <c r="D2274" s="3"/>
      <c r="E2274" s="3"/>
      <c r="F2274" s="3"/>
      <c r="G2274" s="3"/>
      <c r="H2274" s="3"/>
      <c r="I2274" s="3"/>
      <c r="J2274" s="3"/>
      <c r="K2274" s="3"/>
      <c r="L2274" s="3"/>
      <c r="M2274" s="3"/>
      <c r="N2274" s="3"/>
    </row>
    <row r="2275" spans="1:14" ht="16.5" customHeight="1">
      <c r="A2275" s="3"/>
      <c r="B2275" s="3"/>
      <c r="C2275" s="3"/>
      <c r="D2275" s="3"/>
      <c r="E2275" s="3"/>
      <c r="F2275" s="3"/>
      <c r="G2275" s="3"/>
      <c r="H2275" s="3"/>
      <c r="I2275" s="3"/>
      <c r="J2275" s="3"/>
      <c r="K2275" s="3"/>
      <c r="L2275" s="3"/>
      <c r="M2275" s="3"/>
      <c r="N2275" s="3"/>
    </row>
    <row r="2276" spans="1:14" ht="16.5" customHeight="1">
      <c r="A2276" s="3"/>
      <c r="B2276" s="3"/>
      <c r="C2276" s="3"/>
      <c r="D2276" s="3"/>
      <c r="E2276" s="3"/>
      <c r="F2276" s="3"/>
      <c r="G2276" s="3"/>
      <c r="H2276" s="3"/>
      <c r="I2276" s="3"/>
      <c r="J2276" s="3"/>
      <c r="K2276" s="3"/>
      <c r="L2276" s="3"/>
      <c r="M2276" s="3"/>
      <c r="N2276" s="3"/>
    </row>
    <row r="2277" spans="1:14" ht="16.5" customHeight="1">
      <c r="A2277" s="3"/>
      <c r="B2277" s="3"/>
      <c r="C2277" s="3"/>
      <c r="D2277" s="3"/>
      <c r="E2277" s="3"/>
      <c r="F2277" s="3"/>
      <c r="G2277" s="3"/>
      <c r="H2277" s="3"/>
      <c r="I2277" s="3"/>
      <c r="J2277" s="3"/>
      <c r="K2277" s="3"/>
      <c r="L2277" s="3"/>
      <c r="M2277" s="3"/>
      <c r="N2277" s="3"/>
    </row>
    <row r="2278" spans="1:14" ht="16.5" customHeight="1">
      <c r="A2278" s="3"/>
      <c r="B2278" s="3"/>
      <c r="C2278" s="3"/>
      <c r="D2278" s="3"/>
      <c r="E2278" s="3"/>
      <c r="F2278" s="3"/>
      <c r="G2278" s="3"/>
      <c r="H2278" s="3"/>
      <c r="I2278" s="3"/>
      <c r="J2278" s="3"/>
      <c r="K2278" s="3"/>
      <c r="L2278" s="3"/>
      <c r="M2278" s="3"/>
      <c r="N2278" s="3"/>
    </row>
    <row r="2279" spans="1:14" ht="16.5" customHeight="1">
      <c r="A2279" s="3"/>
      <c r="B2279" s="3"/>
      <c r="C2279" s="3"/>
      <c r="D2279" s="3"/>
      <c r="E2279" s="3"/>
      <c r="F2279" s="3"/>
      <c r="G2279" s="3"/>
      <c r="H2279" s="3"/>
      <c r="I2279" s="3"/>
      <c r="J2279" s="3"/>
      <c r="K2279" s="3"/>
      <c r="L2279" s="3"/>
      <c r="M2279" s="3"/>
      <c r="N2279" s="3"/>
    </row>
    <row r="2280" spans="1:14" ht="16.5" customHeight="1">
      <c r="A2280" s="3"/>
      <c r="B2280" s="3"/>
      <c r="C2280" s="3"/>
      <c r="D2280" s="3"/>
      <c r="E2280" s="3"/>
      <c r="F2280" s="3"/>
      <c r="G2280" s="3"/>
      <c r="H2280" s="3"/>
      <c r="I2280" s="3"/>
      <c r="J2280" s="3"/>
      <c r="K2280" s="3"/>
      <c r="L2280" s="3"/>
      <c r="M2280" s="3"/>
      <c r="N2280" s="3"/>
    </row>
    <row r="2281" spans="1:14" ht="16.5" customHeight="1">
      <c r="A2281" s="3"/>
      <c r="B2281" s="3"/>
      <c r="C2281" s="3"/>
      <c r="D2281" s="3"/>
      <c r="E2281" s="3"/>
      <c r="F2281" s="3"/>
      <c r="G2281" s="3"/>
      <c r="H2281" s="3"/>
      <c r="I2281" s="3"/>
      <c r="J2281" s="3"/>
      <c r="K2281" s="3"/>
      <c r="L2281" s="3"/>
      <c r="M2281" s="3"/>
      <c r="N2281" s="3"/>
    </row>
    <row r="2282" spans="1:14" ht="16.5" customHeight="1">
      <c r="A2282" s="3"/>
      <c r="B2282" s="3"/>
      <c r="C2282" s="3"/>
      <c r="D2282" s="3"/>
      <c r="E2282" s="3"/>
      <c r="F2282" s="3"/>
      <c r="G2282" s="3"/>
      <c r="H2282" s="3"/>
      <c r="I2282" s="3"/>
      <c r="J2282" s="3"/>
      <c r="K2282" s="3"/>
      <c r="L2282" s="3"/>
      <c r="M2282" s="3"/>
      <c r="N2282" s="3"/>
    </row>
    <row r="2283" spans="1:14" ht="16.5" customHeight="1">
      <c r="A2283" s="3"/>
      <c r="B2283" s="3"/>
      <c r="C2283" s="3"/>
      <c r="D2283" s="3"/>
      <c r="E2283" s="3"/>
      <c r="F2283" s="3"/>
      <c r="G2283" s="3"/>
      <c r="H2283" s="3"/>
      <c r="I2283" s="3"/>
      <c r="J2283" s="3"/>
      <c r="K2283" s="3"/>
      <c r="L2283" s="3"/>
      <c r="M2283" s="3"/>
      <c r="N2283" s="3"/>
    </row>
    <row r="2284" spans="1:14" ht="16.5" customHeight="1">
      <c r="A2284" s="3"/>
      <c r="B2284" s="3"/>
      <c r="C2284" s="3"/>
      <c r="D2284" s="3"/>
      <c r="E2284" s="3"/>
      <c r="F2284" s="3"/>
      <c r="G2284" s="3"/>
      <c r="H2284" s="3"/>
      <c r="I2284" s="3"/>
      <c r="J2284" s="3"/>
      <c r="K2284" s="3"/>
      <c r="L2284" s="3"/>
      <c r="M2284" s="3"/>
      <c r="N2284" s="3"/>
    </row>
    <row r="2285" spans="1:14" ht="16.5" customHeight="1">
      <c r="A2285" s="3"/>
      <c r="B2285" s="3"/>
      <c r="C2285" s="3"/>
      <c r="D2285" s="3"/>
      <c r="E2285" s="3"/>
      <c r="F2285" s="3"/>
      <c r="G2285" s="3"/>
      <c r="H2285" s="3"/>
      <c r="I2285" s="3"/>
      <c r="J2285" s="3"/>
      <c r="K2285" s="3"/>
      <c r="L2285" s="3"/>
      <c r="M2285" s="3"/>
      <c r="N2285" s="3"/>
    </row>
    <row r="2286" spans="1:14" ht="16.5" customHeight="1">
      <c r="A2286" s="3"/>
      <c r="B2286" s="3"/>
      <c r="C2286" s="3"/>
      <c r="D2286" s="3"/>
      <c r="E2286" s="3"/>
      <c r="F2286" s="3"/>
      <c r="G2286" s="3"/>
      <c r="H2286" s="3"/>
      <c r="I2286" s="3"/>
      <c r="J2286" s="3"/>
      <c r="K2286" s="3"/>
      <c r="L2286" s="3"/>
      <c r="M2286" s="3"/>
      <c r="N2286" s="3"/>
    </row>
    <row r="2287" spans="1:14" ht="16.5" customHeight="1">
      <c r="A2287" s="3"/>
      <c r="B2287" s="3"/>
      <c r="C2287" s="3"/>
      <c r="D2287" s="3"/>
      <c r="E2287" s="3"/>
      <c r="F2287" s="3"/>
      <c r="G2287" s="3"/>
      <c r="H2287" s="3"/>
      <c r="I2287" s="3"/>
      <c r="J2287" s="3"/>
      <c r="K2287" s="3"/>
      <c r="L2287" s="3"/>
      <c r="M2287" s="3"/>
      <c r="N2287" s="3"/>
    </row>
    <row r="2288" spans="1:14" ht="16.5" customHeight="1">
      <c r="A2288" s="3"/>
      <c r="B2288" s="3"/>
      <c r="C2288" s="3"/>
      <c r="D2288" s="3"/>
      <c r="E2288" s="3"/>
      <c r="F2288" s="3"/>
      <c r="G2288" s="3"/>
      <c r="H2288" s="3"/>
      <c r="I2288" s="3"/>
      <c r="J2288" s="3"/>
      <c r="K2288" s="3"/>
      <c r="L2288" s="3"/>
      <c r="M2288" s="3"/>
      <c r="N2288" s="3"/>
    </row>
    <row r="2289" spans="1:14" ht="16.5" customHeight="1">
      <c r="A2289" s="3"/>
      <c r="B2289" s="3"/>
      <c r="C2289" s="3"/>
      <c r="D2289" s="3"/>
      <c r="E2289" s="3"/>
      <c r="F2289" s="3"/>
      <c r="G2289" s="3"/>
      <c r="H2289" s="3"/>
      <c r="I2289" s="3"/>
      <c r="J2289" s="3"/>
      <c r="K2289" s="3"/>
      <c r="L2289" s="3"/>
      <c r="M2289" s="3"/>
      <c r="N2289" s="3"/>
    </row>
    <row r="2290" spans="1:14" ht="16.5" customHeight="1">
      <c r="A2290" s="3"/>
      <c r="B2290" s="3"/>
      <c r="C2290" s="3"/>
      <c r="D2290" s="3"/>
      <c r="E2290" s="3"/>
      <c r="F2290" s="3"/>
      <c r="G2290" s="3"/>
      <c r="H2290" s="3"/>
      <c r="I2290" s="3"/>
      <c r="J2290" s="3"/>
      <c r="K2290" s="3"/>
      <c r="L2290" s="3"/>
      <c r="M2290" s="3"/>
      <c r="N2290" s="3"/>
    </row>
    <row r="2291" spans="1:14" ht="16.5" customHeight="1">
      <c r="A2291" s="3"/>
      <c r="B2291" s="3"/>
      <c r="C2291" s="3"/>
      <c r="D2291" s="3"/>
      <c r="E2291" s="3"/>
      <c r="F2291" s="3"/>
      <c r="G2291" s="3"/>
      <c r="H2291" s="3"/>
      <c r="I2291" s="3"/>
      <c r="J2291" s="3"/>
      <c r="K2291" s="3"/>
      <c r="L2291" s="3"/>
      <c r="M2291" s="3"/>
      <c r="N2291" s="3"/>
    </row>
    <row r="2292" spans="1:14" ht="16.5" customHeight="1">
      <c r="A2292" s="3"/>
      <c r="B2292" s="3"/>
      <c r="C2292" s="3"/>
      <c r="D2292" s="3"/>
      <c r="E2292" s="3"/>
      <c r="F2292" s="3"/>
      <c r="G2292" s="3"/>
      <c r="H2292" s="3"/>
      <c r="I2292" s="3"/>
      <c r="J2292" s="3"/>
      <c r="K2292" s="3"/>
      <c r="L2292" s="3"/>
      <c r="M2292" s="3"/>
      <c r="N2292" s="3"/>
    </row>
    <row r="2293" spans="1:14" ht="16.5" customHeight="1">
      <c r="A2293" s="3"/>
      <c r="B2293" s="3"/>
      <c r="C2293" s="3"/>
      <c r="D2293" s="3"/>
      <c r="E2293" s="3"/>
      <c r="F2293" s="3"/>
      <c r="G2293" s="3"/>
      <c r="H2293" s="3"/>
      <c r="I2293" s="3"/>
      <c r="J2293" s="3"/>
      <c r="K2293" s="3"/>
      <c r="L2293" s="3"/>
      <c r="M2293" s="3"/>
      <c r="N2293" s="3"/>
    </row>
    <row r="2294" spans="1:14" ht="16.5" customHeight="1">
      <c r="A2294" s="3"/>
      <c r="B2294" s="3"/>
      <c r="C2294" s="3"/>
      <c r="D2294" s="3"/>
      <c r="E2294" s="3"/>
      <c r="F2294" s="3"/>
      <c r="G2294" s="3"/>
      <c r="H2294" s="3"/>
      <c r="I2294" s="3"/>
      <c r="J2294" s="3"/>
      <c r="K2294" s="3"/>
      <c r="L2294" s="3"/>
      <c r="M2294" s="3"/>
      <c r="N2294" s="3"/>
    </row>
    <row r="2295" spans="1:14" ht="16.5" customHeight="1">
      <c r="A2295" s="3"/>
      <c r="B2295" s="3"/>
      <c r="C2295" s="3"/>
      <c r="D2295" s="3"/>
      <c r="E2295" s="3"/>
      <c r="F2295" s="3"/>
      <c r="G2295" s="3"/>
      <c r="H2295" s="3"/>
      <c r="I2295" s="3"/>
      <c r="J2295" s="3"/>
      <c r="K2295" s="3"/>
      <c r="L2295" s="3"/>
      <c r="M2295" s="3"/>
      <c r="N2295" s="3"/>
    </row>
    <row r="2296" spans="1:14" ht="16.5" customHeight="1">
      <c r="A2296" s="3"/>
      <c r="B2296" s="3"/>
      <c r="C2296" s="3"/>
      <c r="D2296" s="3"/>
      <c r="E2296" s="3"/>
      <c r="F2296" s="3"/>
      <c r="G2296" s="3"/>
      <c r="H2296" s="3"/>
      <c r="I2296" s="3"/>
      <c r="J2296" s="3"/>
      <c r="K2296" s="3"/>
      <c r="L2296" s="3"/>
      <c r="M2296" s="3"/>
      <c r="N2296" s="3"/>
    </row>
    <row r="2297" spans="1:14" ht="16.5" customHeight="1">
      <c r="A2297" s="3"/>
      <c r="B2297" s="3"/>
      <c r="C2297" s="3"/>
      <c r="D2297" s="3"/>
      <c r="E2297" s="3"/>
      <c r="F2297" s="3"/>
      <c r="G2297" s="3"/>
      <c r="H2297" s="3"/>
      <c r="I2297" s="3"/>
      <c r="J2297" s="3"/>
      <c r="K2297" s="3"/>
      <c r="L2297" s="3"/>
      <c r="M2297" s="3"/>
      <c r="N2297" s="3"/>
    </row>
    <row r="2298" spans="1:14" ht="16.5" customHeight="1">
      <c r="A2298" s="3"/>
      <c r="B2298" s="3"/>
      <c r="C2298" s="3"/>
      <c r="D2298" s="3"/>
      <c r="E2298" s="3"/>
      <c r="F2298" s="3"/>
      <c r="G2298" s="3"/>
      <c r="H2298" s="3"/>
      <c r="I2298" s="3"/>
      <c r="J2298" s="3"/>
      <c r="K2298" s="3"/>
      <c r="L2298" s="3"/>
      <c r="M2298" s="3"/>
      <c r="N2298" s="3"/>
    </row>
    <row r="2299" spans="1:14" ht="16.5" customHeight="1">
      <c r="A2299" s="3"/>
      <c r="B2299" s="3"/>
      <c r="C2299" s="3"/>
      <c r="D2299" s="3"/>
      <c r="E2299" s="3"/>
      <c r="F2299" s="3"/>
      <c r="G2299" s="3"/>
      <c r="H2299" s="3"/>
      <c r="I2299" s="3"/>
      <c r="J2299" s="3"/>
      <c r="K2299" s="3"/>
      <c r="L2299" s="3"/>
      <c r="M2299" s="3"/>
      <c r="N2299" s="3"/>
    </row>
    <row r="2300" spans="1:14" ht="16.5" customHeight="1">
      <c r="A2300" s="3"/>
      <c r="B2300" s="3"/>
      <c r="C2300" s="3"/>
      <c r="D2300" s="3"/>
      <c r="E2300" s="3"/>
      <c r="F2300" s="3"/>
      <c r="G2300" s="3"/>
      <c r="H2300" s="3"/>
      <c r="I2300" s="3"/>
      <c r="J2300" s="3"/>
      <c r="K2300" s="3"/>
      <c r="L2300" s="3"/>
      <c r="M2300" s="3"/>
      <c r="N2300" s="3"/>
    </row>
    <row r="2301" spans="1:14" ht="16.5" customHeight="1">
      <c r="A2301" s="3"/>
      <c r="B2301" s="3"/>
      <c r="C2301" s="3"/>
      <c r="D2301" s="3"/>
      <c r="E2301" s="3"/>
      <c r="F2301" s="3"/>
      <c r="G2301" s="3"/>
      <c r="H2301" s="3"/>
      <c r="I2301" s="3"/>
      <c r="J2301" s="3"/>
      <c r="K2301" s="3"/>
      <c r="L2301" s="3"/>
      <c r="M2301" s="3"/>
      <c r="N2301" s="3"/>
    </row>
    <row r="2302" spans="1:14" ht="16.5" customHeight="1">
      <c r="A2302" s="3"/>
      <c r="B2302" s="3"/>
      <c r="C2302" s="3"/>
      <c r="D2302" s="3"/>
      <c r="E2302" s="3"/>
      <c r="F2302" s="3"/>
      <c r="G2302" s="3"/>
      <c r="H2302" s="3"/>
      <c r="I2302" s="3"/>
      <c r="J2302" s="3"/>
      <c r="K2302" s="3"/>
      <c r="L2302" s="3"/>
      <c r="M2302" s="3"/>
      <c r="N2302" s="3"/>
    </row>
    <row r="2303" spans="1:14" ht="16.5" customHeight="1">
      <c r="A2303" s="3"/>
      <c r="B2303" s="3"/>
      <c r="C2303" s="3"/>
      <c r="D2303" s="3"/>
      <c r="E2303" s="3"/>
      <c r="F2303" s="3"/>
      <c r="G2303" s="3"/>
      <c r="H2303" s="3"/>
      <c r="I2303" s="3"/>
      <c r="J2303" s="3"/>
      <c r="K2303" s="3"/>
      <c r="L2303" s="3"/>
      <c r="M2303" s="3"/>
      <c r="N2303" s="3"/>
    </row>
    <row r="2304" spans="1:14" ht="16.5" customHeight="1">
      <c r="A2304" s="3"/>
      <c r="B2304" s="3"/>
      <c r="C2304" s="3"/>
      <c r="D2304" s="3"/>
      <c r="E2304" s="3"/>
      <c r="F2304" s="3"/>
      <c r="G2304" s="3"/>
      <c r="H2304" s="3"/>
      <c r="I2304" s="3"/>
      <c r="J2304" s="3"/>
      <c r="K2304" s="3"/>
      <c r="L2304" s="3"/>
      <c r="M2304" s="3"/>
      <c r="N2304" s="3"/>
    </row>
    <row r="2305" spans="1:14" ht="16.5" customHeight="1">
      <c r="A2305" s="3"/>
      <c r="B2305" s="3"/>
      <c r="C2305" s="3"/>
      <c r="D2305" s="3"/>
      <c r="E2305" s="3"/>
      <c r="F2305" s="3"/>
      <c r="G2305" s="3"/>
      <c r="H2305" s="3"/>
      <c r="I2305" s="3"/>
      <c r="J2305" s="3"/>
      <c r="K2305" s="3"/>
      <c r="L2305" s="3"/>
      <c r="M2305" s="3"/>
      <c r="N2305" s="3"/>
    </row>
    <row r="2306" spans="1:14" ht="16.5" customHeight="1">
      <c r="A2306" s="3"/>
      <c r="B2306" s="3"/>
      <c r="C2306" s="3"/>
      <c r="D2306" s="3"/>
      <c r="E2306" s="3"/>
      <c r="F2306" s="3"/>
      <c r="G2306" s="3"/>
      <c r="H2306" s="3"/>
      <c r="I2306" s="3"/>
      <c r="J2306" s="3"/>
      <c r="K2306" s="3"/>
      <c r="L2306" s="3"/>
      <c r="M2306" s="3"/>
      <c r="N2306" s="3"/>
    </row>
    <row r="2307" spans="1:14" ht="16.5" customHeight="1">
      <c r="A2307" s="3"/>
      <c r="B2307" s="3"/>
      <c r="C2307" s="3"/>
      <c r="D2307" s="3"/>
      <c r="E2307" s="3"/>
      <c r="F2307" s="3"/>
      <c r="G2307" s="3"/>
      <c r="H2307" s="3"/>
      <c r="I2307" s="3"/>
      <c r="J2307" s="3"/>
      <c r="K2307" s="3"/>
      <c r="L2307" s="3"/>
      <c r="M2307" s="3"/>
      <c r="N2307" s="3"/>
    </row>
    <row r="2308" spans="1:14" ht="16.5" customHeight="1">
      <c r="A2308" s="3"/>
      <c r="B2308" s="3"/>
      <c r="C2308" s="3"/>
      <c r="D2308" s="3"/>
      <c r="E2308" s="3"/>
      <c r="F2308" s="3"/>
      <c r="G2308" s="3"/>
      <c r="H2308" s="3"/>
      <c r="I2308" s="3"/>
      <c r="J2308" s="3"/>
      <c r="K2308" s="3"/>
      <c r="L2308" s="3"/>
      <c r="M2308" s="3"/>
      <c r="N2308" s="3"/>
    </row>
    <row r="2309" spans="1:14" ht="16.5" customHeight="1">
      <c r="A2309" s="3"/>
      <c r="B2309" s="3"/>
      <c r="C2309" s="3"/>
      <c r="D2309" s="3"/>
      <c r="E2309" s="3"/>
      <c r="F2309" s="3"/>
      <c r="G2309" s="3"/>
      <c r="H2309" s="3"/>
      <c r="I2309" s="3"/>
      <c r="J2309" s="3"/>
      <c r="K2309" s="3"/>
      <c r="L2309" s="3"/>
      <c r="M2309" s="3"/>
      <c r="N2309" s="3"/>
    </row>
    <row r="2310" spans="1:14" ht="16.5" customHeight="1">
      <c r="A2310" s="3"/>
      <c r="B2310" s="3"/>
      <c r="C2310" s="3"/>
      <c r="D2310" s="3"/>
      <c r="E2310" s="3"/>
      <c r="F2310" s="3"/>
      <c r="G2310" s="3"/>
      <c r="H2310" s="3"/>
      <c r="I2310" s="3"/>
      <c r="J2310" s="3"/>
      <c r="K2310" s="3"/>
      <c r="L2310" s="3"/>
      <c r="M2310" s="3"/>
      <c r="N2310" s="3"/>
    </row>
    <row r="2311" spans="1:14" ht="16.5" customHeight="1">
      <c r="A2311" s="3"/>
      <c r="B2311" s="3"/>
      <c r="C2311" s="3"/>
      <c r="D2311" s="3"/>
      <c r="E2311" s="3"/>
      <c r="F2311" s="3"/>
      <c r="G2311" s="3"/>
      <c r="H2311" s="3"/>
      <c r="I2311" s="3"/>
      <c r="J2311" s="3"/>
      <c r="K2311" s="3"/>
      <c r="L2311" s="3"/>
      <c r="M2311" s="3"/>
      <c r="N2311" s="3"/>
    </row>
    <row r="2312" spans="1:14" ht="16.5" customHeight="1">
      <c r="A2312" s="3"/>
      <c r="B2312" s="3"/>
      <c r="C2312" s="3"/>
      <c r="D2312" s="3"/>
      <c r="E2312" s="3"/>
      <c r="F2312" s="3"/>
      <c r="G2312" s="3"/>
      <c r="H2312" s="3"/>
      <c r="I2312" s="3"/>
      <c r="J2312" s="3"/>
      <c r="K2312" s="3"/>
      <c r="L2312" s="3"/>
      <c r="M2312" s="3"/>
      <c r="N2312" s="3"/>
    </row>
    <row r="2313" spans="1:14" ht="16.5" customHeight="1">
      <c r="A2313" s="3"/>
      <c r="B2313" s="3"/>
      <c r="C2313" s="3"/>
      <c r="D2313" s="3"/>
      <c r="E2313" s="3"/>
      <c r="F2313" s="3"/>
      <c r="G2313" s="3"/>
      <c r="H2313" s="3"/>
      <c r="I2313" s="3"/>
      <c r="J2313" s="3"/>
      <c r="K2313" s="3"/>
      <c r="L2313" s="3"/>
      <c r="M2313" s="3"/>
      <c r="N2313" s="3"/>
    </row>
    <row r="2314" spans="1:14" ht="16.5" customHeight="1">
      <c r="A2314" s="3"/>
      <c r="B2314" s="3"/>
      <c r="C2314" s="3"/>
      <c r="D2314" s="3"/>
      <c r="E2314" s="3"/>
      <c r="F2314" s="3"/>
      <c r="G2314" s="3"/>
      <c r="H2314" s="3"/>
      <c r="I2314" s="3"/>
      <c r="J2314" s="3"/>
      <c r="K2314" s="3"/>
      <c r="L2314" s="3"/>
      <c r="M2314" s="3"/>
      <c r="N2314" s="3"/>
    </row>
    <row r="2315" spans="1:14" ht="16.5" customHeight="1">
      <c r="A2315" s="3"/>
      <c r="B2315" s="3"/>
      <c r="C2315" s="3"/>
      <c r="D2315" s="3"/>
      <c r="E2315" s="3"/>
      <c r="F2315" s="3"/>
      <c r="G2315" s="3"/>
      <c r="H2315" s="3"/>
      <c r="I2315" s="3"/>
      <c r="J2315" s="3"/>
      <c r="K2315" s="3"/>
      <c r="L2315" s="3"/>
      <c r="M2315" s="3"/>
      <c r="N2315" s="3"/>
    </row>
    <row r="2316" spans="1:14" ht="16.5" customHeight="1">
      <c r="A2316" s="3"/>
      <c r="B2316" s="3"/>
      <c r="C2316" s="3"/>
      <c r="D2316" s="3"/>
      <c r="E2316" s="3"/>
      <c r="F2316" s="3"/>
      <c r="G2316" s="3"/>
      <c r="H2316" s="3"/>
      <c r="I2316" s="3"/>
      <c r="J2316" s="3"/>
      <c r="K2316" s="3"/>
      <c r="L2316" s="3"/>
      <c r="M2316" s="3"/>
      <c r="N2316" s="3"/>
    </row>
    <row r="2317" spans="1:14" ht="16.5" customHeight="1">
      <c r="A2317" s="3"/>
      <c r="B2317" s="3"/>
      <c r="C2317" s="3"/>
      <c r="D2317" s="3"/>
      <c r="E2317" s="3"/>
      <c r="F2317" s="3"/>
      <c r="G2317" s="3"/>
      <c r="H2317" s="3"/>
      <c r="I2317" s="3"/>
      <c r="J2317" s="3"/>
      <c r="K2317" s="3"/>
      <c r="L2317" s="3"/>
      <c r="M2317" s="3"/>
      <c r="N2317" s="3"/>
    </row>
    <row r="2318" spans="1:14" ht="16.5" customHeight="1">
      <c r="A2318" s="3"/>
      <c r="B2318" s="3"/>
      <c r="C2318" s="3"/>
      <c r="D2318" s="3"/>
      <c r="E2318" s="3"/>
      <c r="F2318" s="3"/>
      <c r="G2318" s="3"/>
      <c r="H2318" s="3"/>
      <c r="I2318" s="3"/>
      <c r="J2318" s="3"/>
      <c r="K2318" s="3"/>
      <c r="L2318" s="3"/>
      <c r="M2318" s="3"/>
      <c r="N2318" s="3"/>
    </row>
    <row r="2319" spans="1:14" ht="16.5" customHeight="1">
      <c r="A2319" s="3"/>
      <c r="B2319" s="3"/>
      <c r="C2319" s="3"/>
      <c r="D2319" s="3"/>
      <c r="E2319" s="3"/>
      <c r="F2319" s="3"/>
      <c r="G2319" s="3"/>
      <c r="H2319" s="3"/>
      <c r="I2319" s="3"/>
      <c r="J2319" s="3"/>
      <c r="K2319" s="3"/>
      <c r="L2319" s="3"/>
      <c r="M2319" s="3"/>
      <c r="N2319" s="3"/>
    </row>
    <row r="2320" spans="1:14" ht="16.5" customHeight="1">
      <c r="A2320" s="3"/>
      <c r="B2320" s="3"/>
      <c r="C2320" s="3"/>
      <c r="D2320" s="3"/>
      <c r="E2320" s="3"/>
      <c r="F2320" s="3"/>
      <c r="G2320" s="3"/>
      <c r="H2320" s="3"/>
      <c r="I2320" s="3"/>
      <c r="J2320" s="3"/>
      <c r="K2320" s="3"/>
      <c r="L2320" s="3"/>
      <c r="M2320" s="3"/>
      <c r="N2320" s="3"/>
    </row>
    <row r="2321" spans="1:14" ht="16.5" customHeight="1">
      <c r="A2321" s="3"/>
      <c r="B2321" s="3"/>
      <c r="C2321" s="3"/>
      <c r="D2321" s="3"/>
      <c r="E2321" s="3"/>
      <c r="F2321" s="3"/>
      <c r="G2321" s="3"/>
      <c r="H2321" s="3"/>
      <c r="I2321" s="3"/>
      <c r="J2321" s="3"/>
      <c r="K2321" s="3"/>
      <c r="L2321" s="3"/>
      <c r="M2321" s="3"/>
      <c r="N2321" s="3"/>
    </row>
    <row r="2322" spans="1:14" ht="16.5" customHeight="1">
      <c r="A2322" s="3"/>
      <c r="B2322" s="3"/>
      <c r="C2322" s="3"/>
      <c r="D2322" s="3"/>
      <c r="E2322" s="3"/>
      <c r="F2322" s="3"/>
      <c r="G2322" s="3"/>
      <c r="H2322" s="3"/>
      <c r="I2322" s="3"/>
      <c r="J2322" s="3"/>
      <c r="K2322" s="3"/>
      <c r="L2322" s="3"/>
      <c r="M2322" s="3"/>
      <c r="N2322" s="3"/>
    </row>
    <row r="2323" spans="1:14" ht="16.5" customHeight="1">
      <c r="A2323" s="3"/>
      <c r="B2323" s="3"/>
      <c r="C2323" s="3"/>
      <c r="D2323" s="3"/>
      <c r="E2323" s="3"/>
      <c r="F2323" s="3"/>
      <c r="G2323" s="3"/>
      <c r="H2323" s="3"/>
      <c r="I2323" s="3"/>
      <c r="J2323" s="3"/>
      <c r="K2323" s="3"/>
      <c r="L2323" s="3"/>
      <c r="M2323" s="3"/>
      <c r="N2323" s="3"/>
    </row>
    <row r="2324" spans="1:14" ht="16.5" customHeight="1">
      <c r="A2324" s="3"/>
      <c r="B2324" s="3"/>
      <c r="C2324" s="3"/>
      <c r="D2324" s="3"/>
      <c r="E2324" s="3"/>
      <c r="F2324" s="3"/>
      <c r="G2324" s="3"/>
      <c r="H2324" s="3"/>
      <c r="I2324" s="3"/>
      <c r="J2324" s="3"/>
      <c r="K2324" s="3"/>
      <c r="L2324" s="3"/>
      <c r="M2324" s="3"/>
      <c r="N2324" s="3"/>
    </row>
    <row r="2325" spans="1:14" ht="16.5" customHeight="1">
      <c r="A2325" s="3"/>
      <c r="B2325" s="3"/>
      <c r="C2325" s="3"/>
      <c r="D2325" s="3"/>
      <c r="E2325" s="3"/>
      <c r="F2325" s="3"/>
      <c r="G2325" s="3"/>
      <c r="H2325" s="3"/>
      <c r="I2325" s="3"/>
      <c r="J2325" s="3"/>
      <c r="K2325" s="3"/>
      <c r="L2325" s="3"/>
      <c r="M2325" s="3"/>
      <c r="N2325" s="3"/>
    </row>
    <row r="2326" spans="1:14" ht="16.5" customHeight="1">
      <c r="A2326" s="3"/>
      <c r="B2326" s="3"/>
      <c r="C2326" s="3"/>
      <c r="D2326" s="3"/>
      <c r="E2326" s="3"/>
      <c r="F2326" s="3"/>
      <c r="G2326" s="3"/>
      <c r="H2326" s="3"/>
      <c r="I2326" s="3"/>
      <c r="J2326" s="3"/>
      <c r="K2326" s="3"/>
      <c r="L2326" s="3"/>
      <c r="M2326" s="3"/>
      <c r="N2326" s="3"/>
    </row>
    <row r="2327" spans="1:14" ht="16.5" customHeight="1">
      <c r="A2327" s="3"/>
      <c r="B2327" s="3"/>
      <c r="C2327" s="3"/>
      <c r="D2327" s="3"/>
      <c r="E2327" s="3"/>
      <c r="F2327" s="3"/>
      <c r="G2327" s="3"/>
      <c r="H2327" s="3"/>
      <c r="I2327" s="3"/>
      <c r="J2327" s="3"/>
      <c r="K2327" s="3"/>
      <c r="L2327" s="3"/>
      <c r="M2327" s="3"/>
      <c r="N2327" s="3"/>
    </row>
    <row r="2328" spans="1:14" ht="16.5" customHeight="1">
      <c r="A2328" s="3"/>
      <c r="B2328" s="3"/>
      <c r="C2328" s="3"/>
      <c r="D2328" s="3"/>
      <c r="E2328" s="3"/>
      <c r="F2328" s="3"/>
      <c r="G2328" s="3"/>
      <c r="H2328" s="3"/>
      <c r="I2328" s="3"/>
      <c r="J2328" s="3"/>
      <c r="K2328" s="3"/>
      <c r="L2328" s="3"/>
      <c r="M2328" s="3"/>
      <c r="N2328" s="3"/>
    </row>
    <row r="2329" spans="1:14" ht="16.5" customHeight="1">
      <c r="A2329" s="3"/>
      <c r="B2329" s="3"/>
      <c r="C2329" s="3"/>
      <c r="D2329" s="3"/>
      <c r="E2329" s="3"/>
      <c r="F2329" s="3"/>
      <c r="G2329" s="3"/>
      <c r="H2329" s="3"/>
      <c r="I2329" s="3"/>
      <c r="J2329" s="3"/>
      <c r="K2329" s="3"/>
      <c r="L2329" s="3"/>
      <c r="M2329" s="3"/>
      <c r="N2329" s="3"/>
    </row>
    <row r="2330" spans="1:14" ht="16.5" customHeight="1">
      <c r="A2330" s="3"/>
      <c r="B2330" s="3"/>
      <c r="C2330" s="3"/>
      <c r="D2330" s="3"/>
      <c r="E2330" s="3"/>
      <c r="F2330" s="3"/>
      <c r="G2330" s="3"/>
      <c r="H2330" s="3"/>
      <c r="I2330" s="3"/>
      <c r="J2330" s="3"/>
      <c r="K2330" s="3"/>
      <c r="L2330" s="3"/>
      <c r="M2330" s="3"/>
      <c r="N2330" s="3"/>
    </row>
    <row r="2331" spans="1:14" ht="16.5" customHeight="1">
      <c r="A2331" s="3"/>
      <c r="B2331" s="3"/>
      <c r="C2331" s="3"/>
      <c r="D2331" s="3"/>
      <c r="E2331" s="3"/>
      <c r="F2331" s="3"/>
      <c r="G2331" s="3"/>
      <c r="H2331" s="3"/>
      <c r="I2331" s="3"/>
      <c r="J2331" s="3"/>
      <c r="K2331" s="3"/>
      <c r="L2331" s="3"/>
      <c r="M2331" s="3"/>
      <c r="N2331" s="3"/>
    </row>
    <row r="2332" spans="1:14" ht="16.5" customHeight="1">
      <c r="A2332" s="3"/>
      <c r="B2332" s="3"/>
      <c r="C2332" s="3"/>
      <c r="D2332" s="3"/>
      <c r="E2332" s="3"/>
      <c r="F2332" s="3"/>
      <c r="G2332" s="3"/>
      <c r="H2332" s="3"/>
      <c r="I2332" s="3"/>
      <c r="J2332" s="3"/>
      <c r="K2332" s="3"/>
      <c r="L2332" s="3"/>
      <c r="M2332" s="3"/>
      <c r="N2332" s="3"/>
    </row>
    <row r="2333" spans="1:14" ht="16.5" customHeight="1">
      <c r="A2333" s="3"/>
      <c r="B2333" s="3"/>
      <c r="C2333" s="3"/>
      <c r="D2333" s="3"/>
      <c r="E2333" s="3"/>
      <c r="F2333" s="3"/>
      <c r="G2333" s="3"/>
      <c r="H2333" s="3"/>
      <c r="I2333" s="3"/>
      <c r="J2333" s="3"/>
      <c r="K2333" s="3"/>
      <c r="L2333" s="3"/>
      <c r="M2333" s="3"/>
      <c r="N2333" s="3"/>
    </row>
    <row r="2334" spans="1:14" ht="16.5" customHeight="1">
      <c r="A2334" s="3"/>
      <c r="B2334" s="3"/>
      <c r="C2334" s="3"/>
      <c r="D2334" s="3"/>
      <c r="E2334" s="3"/>
      <c r="F2334" s="3"/>
      <c r="G2334" s="3"/>
      <c r="H2334" s="3"/>
      <c r="I2334" s="3"/>
      <c r="J2334" s="3"/>
      <c r="K2334" s="3"/>
      <c r="L2334" s="3"/>
      <c r="M2334" s="3"/>
      <c r="N2334" s="3"/>
    </row>
    <row r="2335" spans="1:14" ht="16.5" customHeight="1">
      <c r="A2335" s="3"/>
      <c r="B2335" s="3"/>
      <c r="C2335" s="3"/>
      <c r="D2335" s="3"/>
      <c r="E2335" s="3"/>
      <c r="F2335" s="3"/>
      <c r="G2335" s="3"/>
      <c r="H2335" s="3"/>
      <c r="I2335" s="3"/>
      <c r="J2335" s="3"/>
      <c r="K2335" s="3"/>
      <c r="L2335" s="3"/>
      <c r="M2335" s="3"/>
      <c r="N2335" s="3"/>
    </row>
    <row r="2336" spans="1:14" ht="16.5" customHeight="1">
      <c r="A2336" s="3"/>
      <c r="B2336" s="3"/>
      <c r="C2336" s="3"/>
      <c r="D2336" s="3"/>
      <c r="E2336" s="3"/>
      <c r="F2336" s="3"/>
      <c r="G2336" s="3"/>
      <c r="H2336" s="3"/>
      <c r="I2336" s="3"/>
      <c r="J2336" s="3"/>
      <c r="K2336" s="3"/>
      <c r="L2336" s="3"/>
      <c r="M2336" s="3"/>
      <c r="N2336" s="3"/>
    </row>
    <row r="2337" spans="1:14" ht="16.5" customHeight="1">
      <c r="A2337" s="3"/>
      <c r="B2337" s="3"/>
      <c r="C2337" s="3"/>
      <c r="D2337" s="3"/>
      <c r="E2337" s="3"/>
      <c r="F2337" s="3"/>
      <c r="G2337" s="3"/>
      <c r="H2337" s="3"/>
      <c r="I2337" s="3"/>
      <c r="J2337" s="3"/>
      <c r="K2337" s="3"/>
      <c r="L2337" s="3"/>
      <c r="M2337" s="3"/>
      <c r="N2337" s="3"/>
    </row>
    <row r="2338" spans="1:14" ht="16.5" customHeight="1">
      <c r="A2338" s="3"/>
      <c r="B2338" s="3"/>
      <c r="C2338" s="3"/>
      <c r="D2338" s="3"/>
      <c r="E2338" s="3"/>
      <c r="F2338" s="3"/>
      <c r="G2338" s="3"/>
      <c r="H2338" s="3"/>
      <c r="I2338" s="3"/>
      <c r="J2338" s="3"/>
      <c r="K2338" s="3"/>
      <c r="L2338" s="3"/>
      <c r="M2338" s="3"/>
      <c r="N2338" s="3"/>
    </row>
    <row r="2339" spans="1:14" ht="16.5" customHeight="1">
      <c r="A2339" s="3"/>
      <c r="B2339" s="3"/>
      <c r="C2339" s="3"/>
      <c r="D2339" s="3"/>
      <c r="E2339" s="3"/>
      <c r="F2339" s="3"/>
      <c r="G2339" s="3"/>
      <c r="H2339" s="3"/>
      <c r="I2339" s="3"/>
      <c r="J2339" s="3"/>
      <c r="K2339" s="3"/>
      <c r="L2339" s="3"/>
      <c r="M2339" s="3"/>
      <c r="N2339" s="3"/>
    </row>
    <row r="2340" spans="1:14" ht="16.5" customHeight="1">
      <c r="A2340" s="3"/>
      <c r="B2340" s="3"/>
      <c r="C2340" s="3"/>
      <c r="D2340" s="3"/>
      <c r="E2340" s="3"/>
      <c r="F2340" s="3"/>
      <c r="G2340" s="3"/>
      <c r="H2340" s="3"/>
      <c r="I2340" s="3"/>
      <c r="J2340" s="3"/>
      <c r="K2340" s="3"/>
      <c r="L2340" s="3"/>
      <c r="M2340" s="3"/>
      <c r="N2340" s="3"/>
    </row>
    <row r="2341" spans="1:14" ht="16.5" customHeight="1">
      <c r="A2341" s="3"/>
      <c r="B2341" s="3"/>
      <c r="C2341" s="3"/>
      <c r="D2341" s="3"/>
      <c r="E2341" s="3"/>
      <c r="F2341" s="3"/>
      <c r="G2341" s="3"/>
      <c r="H2341" s="3"/>
      <c r="I2341" s="3"/>
      <c r="J2341" s="3"/>
      <c r="K2341" s="3"/>
      <c r="L2341" s="3"/>
      <c r="M2341" s="3"/>
      <c r="N2341" s="3"/>
    </row>
    <row r="2342" spans="1:14" ht="16.5" customHeight="1">
      <c r="A2342" s="3"/>
      <c r="B2342" s="3"/>
      <c r="C2342" s="3"/>
      <c r="D2342" s="3"/>
      <c r="E2342" s="3"/>
      <c r="F2342" s="3"/>
      <c r="G2342" s="3"/>
      <c r="H2342" s="3"/>
      <c r="I2342" s="3"/>
      <c r="J2342" s="3"/>
      <c r="K2342" s="3"/>
      <c r="L2342" s="3"/>
      <c r="M2342" s="3"/>
      <c r="N2342" s="3"/>
    </row>
    <row r="2343" spans="1:14" ht="16.5" customHeight="1">
      <c r="A2343" s="3"/>
      <c r="B2343" s="3"/>
      <c r="C2343" s="3"/>
      <c r="D2343" s="3"/>
      <c r="E2343" s="3"/>
      <c r="F2343" s="3"/>
      <c r="G2343" s="3"/>
      <c r="H2343" s="3"/>
      <c r="I2343" s="3"/>
      <c r="J2343" s="3"/>
      <c r="K2343" s="3"/>
      <c r="L2343" s="3"/>
      <c r="M2343" s="3"/>
      <c r="N2343" s="3"/>
    </row>
    <row r="2344" spans="1:14" ht="16.5" customHeight="1">
      <c r="A2344" s="3"/>
      <c r="B2344" s="3"/>
      <c r="C2344" s="3"/>
      <c r="D2344" s="3"/>
      <c r="E2344" s="3"/>
      <c r="F2344" s="3"/>
      <c r="G2344" s="3"/>
      <c r="H2344" s="3"/>
      <c r="I2344" s="3"/>
      <c r="J2344" s="3"/>
      <c r="K2344" s="3"/>
      <c r="L2344" s="3"/>
      <c r="M2344" s="3"/>
      <c r="N2344" s="3"/>
    </row>
    <row r="2345" spans="1:14" ht="16.5" customHeight="1">
      <c r="A2345" s="3"/>
      <c r="B2345" s="3"/>
      <c r="C2345" s="3"/>
      <c r="D2345" s="3"/>
      <c r="E2345" s="3"/>
      <c r="F2345" s="3"/>
      <c r="G2345" s="3"/>
      <c r="H2345" s="3"/>
      <c r="I2345" s="3"/>
      <c r="J2345" s="3"/>
      <c r="K2345" s="3"/>
      <c r="L2345" s="3"/>
      <c r="M2345" s="3"/>
      <c r="N2345" s="3"/>
    </row>
    <row r="2346" spans="1:14" ht="16.5" customHeight="1">
      <c r="A2346" s="3"/>
      <c r="B2346" s="3"/>
      <c r="C2346" s="3"/>
      <c r="D2346" s="3"/>
      <c r="E2346" s="3"/>
      <c r="F2346" s="3"/>
      <c r="G2346" s="3"/>
      <c r="H2346" s="3"/>
      <c r="I2346" s="3"/>
      <c r="J2346" s="3"/>
      <c r="K2346" s="3"/>
      <c r="L2346" s="3"/>
      <c r="M2346" s="3"/>
      <c r="N2346" s="3"/>
    </row>
    <row r="2347" spans="1:14" ht="16.5" customHeight="1">
      <c r="A2347" s="3"/>
      <c r="B2347" s="3"/>
      <c r="C2347" s="3"/>
      <c r="D2347" s="3"/>
      <c r="E2347" s="3"/>
      <c r="F2347" s="3"/>
      <c r="G2347" s="3"/>
      <c r="H2347" s="3"/>
      <c r="I2347" s="3"/>
      <c r="J2347" s="3"/>
      <c r="K2347" s="3"/>
      <c r="L2347" s="3"/>
      <c r="M2347" s="3"/>
      <c r="N2347" s="3"/>
    </row>
    <row r="2348" spans="1:14" ht="16.5" customHeight="1">
      <c r="A2348" s="3"/>
      <c r="B2348" s="3"/>
      <c r="C2348" s="3"/>
      <c r="D2348" s="3"/>
      <c r="E2348" s="3"/>
      <c r="F2348" s="3"/>
      <c r="G2348" s="3"/>
      <c r="H2348" s="3"/>
      <c r="I2348" s="3"/>
      <c r="J2348" s="3"/>
      <c r="K2348" s="3"/>
      <c r="L2348" s="3"/>
      <c r="M2348" s="3"/>
      <c r="N2348" s="3"/>
    </row>
    <row r="2349" spans="1:14" ht="16.5" customHeight="1">
      <c r="A2349" s="3"/>
      <c r="B2349" s="3"/>
      <c r="C2349" s="3"/>
      <c r="D2349" s="3"/>
      <c r="E2349" s="3"/>
      <c r="F2349" s="3"/>
      <c r="G2349" s="3"/>
      <c r="H2349" s="3"/>
      <c r="I2349" s="3"/>
      <c r="J2349" s="3"/>
      <c r="K2349" s="3"/>
      <c r="L2349" s="3"/>
      <c r="M2349" s="3"/>
      <c r="N2349" s="3"/>
    </row>
    <row r="2350" spans="1:14" ht="16.5" customHeight="1">
      <c r="A2350" s="3"/>
      <c r="B2350" s="3"/>
      <c r="C2350" s="3"/>
      <c r="D2350" s="3"/>
      <c r="E2350" s="3"/>
      <c r="F2350" s="3"/>
      <c r="G2350" s="3"/>
      <c r="H2350" s="3"/>
      <c r="I2350" s="3"/>
      <c r="J2350" s="3"/>
      <c r="K2350" s="3"/>
      <c r="L2350" s="3"/>
      <c r="M2350" s="3"/>
      <c r="N2350" s="3"/>
    </row>
    <row r="2351" spans="1:14" ht="16.5" customHeight="1">
      <c r="A2351" s="3"/>
      <c r="B2351" s="3"/>
      <c r="C2351" s="3"/>
      <c r="D2351" s="3"/>
      <c r="E2351" s="3"/>
      <c r="F2351" s="3"/>
      <c r="G2351" s="3"/>
      <c r="H2351" s="3"/>
      <c r="I2351" s="3"/>
      <c r="J2351" s="3"/>
      <c r="K2351" s="3"/>
      <c r="L2351" s="3"/>
      <c r="M2351" s="3"/>
      <c r="N2351" s="3"/>
    </row>
    <row r="2352" spans="1:14" ht="16.5" customHeight="1">
      <c r="A2352" s="3"/>
      <c r="B2352" s="3"/>
      <c r="C2352" s="3"/>
      <c r="D2352" s="3"/>
      <c r="E2352" s="3"/>
      <c r="F2352" s="3"/>
      <c r="G2352" s="3"/>
      <c r="H2352" s="3"/>
      <c r="I2352" s="3"/>
      <c r="J2352" s="3"/>
      <c r="K2352" s="3"/>
      <c r="L2352" s="3"/>
      <c r="M2352" s="3"/>
      <c r="N2352" s="3"/>
    </row>
    <row r="2353" spans="1:14" ht="16.5" customHeight="1">
      <c r="A2353" s="3"/>
      <c r="B2353" s="3"/>
      <c r="C2353" s="3"/>
      <c r="D2353" s="3"/>
      <c r="E2353" s="3"/>
      <c r="F2353" s="3"/>
      <c r="G2353" s="3"/>
      <c r="H2353" s="3"/>
      <c r="I2353" s="3"/>
      <c r="J2353" s="3"/>
      <c r="K2353" s="3"/>
      <c r="L2353" s="3"/>
      <c r="M2353" s="3"/>
      <c r="N2353" s="3"/>
    </row>
    <row r="2354" spans="1:14" ht="16.5" customHeight="1">
      <c r="A2354" s="3"/>
      <c r="B2354" s="3"/>
      <c r="C2354" s="3"/>
      <c r="D2354" s="3"/>
      <c r="E2354" s="3"/>
      <c r="F2354" s="3"/>
      <c r="G2354" s="3"/>
      <c r="H2354" s="3"/>
      <c r="I2354" s="3"/>
      <c r="J2354" s="3"/>
      <c r="K2354" s="3"/>
      <c r="L2354" s="3"/>
      <c r="M2354" s="3"/>
      <c r="N2354" s="3"/>
    </row>
    <row r="2355" spans="1:14" ht="16.5" customHeight="1">
      <c r="A2355" s="3"/>
      <c r="B2355" s="3"/>
      <c r="C2355" s="3"/>
      <c r="D2355" s="3"/>
      <c r="E2355" s="3"/>
      <c r="F2355" s="3"/>
      <c r="G2355" s="3"/>
      <c r="H2355" s="3"/>
      <c r="I2355" s="3"/>
      <c r="J2355" s="3"/>
      <c r="K2355" s="3"/>
      <c r="L2355" s="3"/>
      <c r="M2355" s="3"/>
      <c r="N2355" s="3"/>
    </row>
    <row r="2356" spans="1:14" ht="16.5" customHeight="1">
      <c r="A2356" s="3"/>
      <c r="B2356" s="3"/>
      <c r="C2356" s="3"/>
      <c r="D2356" s="3"/>
      <c r="E2356" s="3"/>
      <c r="F2356" s="3"/>
      <c r="G2356" s="3"/>
      <c r="H2356" s="3"/>
      <c r="I2356" s="3"/>
      <c r="J2356" s="3"/>
      <c r="K2356" s="3"/>
      <c r="L2356" s="3"/>
      <c r="M2356" s="3"/>
      <c r="N2356" s="3"/>
    </row>
    <row r="2357" spans="1:14" ht="16.5" customHeight="1">
      <c r="A2357" s="3"/>
      <c r="B2357" s="3"/>
      <c r="C2357" s="3"/>
      <c r="D2357" s="3"/>
      <c r="E2357" s="3"/>
      <c r="F2357" s="3"/>
      <c r="G2357" s="3"/>
      <c r="H2357" s="3"/>
      <c r="I2357" s="3"/>
      <c r="J2357" s="3"/>
      <c r="K2357" s="3"/>
      <c r="L2357" s="3"/>
      <c r="M2357" s="3"/>
      <c r="N2357" s="3"/>
    </row>
    <row r="2358" spans="1:14" ht="16.5" customHeight="1">
      <c r="A2358" s="3"/>
      <c r="B2358" s="3"/>
      <c r="C2358" s="3"/>
      <c r="D2358" s="3"/>
      <c r="E2358" s="3"/>
      <c r="F2358" s="3"/>
      <c r="G2358" s="3"/>
      <c r="H2358" s="3"/>
      <c r="I2358" s="3"/>
      <c r="J2358" s="3"/>
      <c r="K2358" s="3"/>
      <c r="L2358" s="3"/>
      <c r="M2358" s="3"/>
      <c r="N2358" s="3"/>
    </row>
    <row r="2359" spans="1:14" ht="16.5" customHeight="1">
      <c r="A2359" s="3"/>
      <c r="B2359" s="3"/>
      <c r="C2359" s="3"/>
      <c r="D2359" s="3"/>
      <c r="E2359" s="3"/>
      <c r="F2359" s="3"/>
      <c r="G2359" s="3"/>
      <c r="H2359" s="3"/>
      <c r="I2359" s="3"/>
      <c r="J2359" s="3"/>
      <c r="K2359" s="3"/>
      <c r="L2359" s="3"/>
      <c r="M2359" s="3"/>
      <c r="N2359" s="3"/>
    </row>
    <row r="2360" spans="1:14" ht="16.5" customHeight="1">
      <c r="A2360" s="3"/>
      <c r="B2360" s="3"/>
      <c r="C2360" s="3"/>
      <c r="D2360" s="3"/>
      <c r="E2360" s="3"/>
      <c r="F2360" s="3"/>
      <c r="G2360" s="3"/>
      <c r="H2360" s="3"/>
      <c r="I2360" s="3"/>
      <c r="J2360" s="3"/>
      <c r="K2360" s="3"/>
      <c r="L2360" s="3"/>
      <c r="M2360" s="3"/>
      <c r="N2360" s="3"/>
    </row>
    <row r="2361" spans="1:14" ht="16.5" customHeight="1">
      <c r="A2361" s="3"/>
      <c r="B2361" s="3"/>
      <c r="C2361" s="3"/>
      <c r="D2361" s="3"/>
      <c r="E2361" s="3"/>
      <c r="F2361" s="3"/>
      <c r="G2361" s="3"/>
      <c r="H2361" s="3"/>
      <c r="I2361" s="3"/>
      <c r="J2361" s="3"/>
      <c r="K2361" s="3"/>
      <c r="L2361" s="3"/>
      <c r="M2361" s="3"/>
      <c r="N2361" s="3"/>
    </row>
    <row r="2362" spans="1:14" ht="16.5" customHeight="1">
      <c r="A2362" s="3"/>
      <c r="B2362" s="3"/>
      <c r="C2362" s="3"/>
      <c r="D2362" s="3"/>
      <c r="E2362" s="3"/>
      <c r="F2362" s="3"/>
      <c r="G2362" s="3"/>
      <c r="H2362" s="3"/>
      <c r="I2362" s="3"/>
      <c r="J2362" s="3"/>
      <c r="K2362" s="3"/>
      <c r="L2362" s="3"/>
      <c r="M2362" s="3"/>
      <c r="N2362" s="3"/>
    </row>
    <row r="2363" spans="1:14" ht="16.5" customHeight="1">
      <c r="A2363" s="3"/>
      <c r="B2363" s="3"/>
      <c r="C2363" s="3"/>
      <c r="D2363" s="3"/>
      <c r="E2363" s="3"/>
      <c r="F2363" s="3"/>
      <c r="G2363" s="3"/>
      <c r="H2363" s="3"/>
      <c r="I2363" s="3"/>
      <c r="J2363" s="3"/>
      <c r="K2363" s="3"/>
      <c r="L2363" s="3"/>
      <c r="M2363" s="3"/>
      <c r="N2363" s="3"/>
    </row>
    <row r="2364" spans="1:14" ht="16.5" customHeight="1">
      <c r="A2364" s="3"/>
      <c r="B2364" s="3"/>
      <c r="C2364" s="3"/>
      <c r="D2364" s="3"/>
      <c r="E2364" s="3"/>
      <c r="F2364" s="3"/>
      <c r="G2364" s="3"/>
      <c r="H2364" s="3"/>
      <c r="I2364" s="3"/>
      <c r="J2364" s="3"/>
      <c r="K2364" s="3"/>
      <c r="L2364" s="3"/>
      <c r="M2364" s="3"/>
      <c r="N2364" s="3"/>
    </row>
    <row r="2365" spans="1:14" ht="16.5" customHeight="1">
      <c r="A2365" s="3"/>
      <c r="B2365" s="3"/>
      <c r="C2365" s="3"/>
      <c r="D2365" s="3"/>
      <c r="E2365" s="3"/>
      <c r="F2365" s="3"/>
      <c r="G2365" s="3"/>
      <c r="H2365" s="3"/>
      <c r="I2365" s="3"/>
      <c r="J2365" s="3"/>
      <c r="K2365" s="3"/>
      <c r="L2365" s="3"/>
      <c r="M2365" s="3"/>
      <c r="N2365" s="3"/>
    </row>
    <row r="2366" spans="1:14" ht="16.5" customHeight="1">
      <c r="A2366" s="3"/>
      <c r="B2366" s="3"/>
      <c r="C2366" s="3"/>
      <c r="D2366" s="3"/>
      <c r="E2366" s="3"/>
      <c r="F2366" s="3"/>
      <c r="G2366" s="3"/>
      <c r="H2366" s="3"/>
      <c r="I2366" s="3"/>
      <c r="J2366" s="3"/>
      <c r="K2366" s="3"/>
      <c r="L2366" s="3"/>
      <c r="M2366" s="3"/>
      <c r="N2366" s="3"/>
    </row>
    <row r="2367" spans="1:14" ht="16.5" customHeight="1">
      <c r="A2367" s="3"/>
      <c r="B2367" s="3"/>
      <c r="C2367" s="3"/>
      <c r="D2367" s="3"/>
      <c r="E2367" s="3"/>
      <c r="F2367" s="3"/>
      <c r="G2367" s="3"/>
      <c r="H2367" s="3"/>
      <c r="I2367" s="3"/>
      <c r="J2367" s="3"/>
      <c r="K2367" s="3"/>
      <c r="L2367" s="3"/>
      <c r="M2367" s="3"/>
      <c r="N2367" s="3"/>
    </row>
    <row r="2368" spans="1:14" ht="16.5" customHeight="1">
      <c r="A2368" s="3"/>
      <c r="B2368" s="3"/>
      <c r="C2368" s="3"/>
      <c r="D2368" s="3"/>
      <c r="E2368" s="3"/>
      <c r="F2368" s="3"/>
      <c r="G2368" s="3"/>
      <c r="H2368" s="3"/>
      <c r="I2368" s="3"/>
      <c r="J2368" s="3"/>
      <c r="K2368" s="3"/>
      <c r="L2368" s="3"/>
      <c r="M2368" s="3"/>
      <c r="N2368" s="3"/>
    </row>
    <row r="2369" spans="1:14" ht="16.5" customHeight="1">
      <c r="A2369" s="3"/>
      <c r="B2369" s="3"/>
      <c r="C2369" s="3"/>
      <c r="D2369" s="3"/>
      <c r="E2369" s="3"/>
      <c r="F2369" s="3"/>
      <c r="G2369" s="3"/>
      <c r="H2369" s="3"/>
      <c r="I2369" s="3"/>
      <c r="J2369" s="3"/>
      <c r="K2369" s="3"/>
      <c r="L2369" s="3"/>
      <c r="M2369" s="3"/>
      <c r="N2369" s="3"/>
    </row>
    <row r="2370" spans="1:14" ht="16.5" customHeight="1">
      <c r="A2370" s="3"/>
      <c r="B2370" s="3"/>
      <c r="C2370" s="3"/>
      <c r="D2370" s="3"/>
      <c r="E2370" s="3"/>
      <c r="F2370" s="3"/>
      <c r="G2370" s="3"/>
      <c r="H2370" s="3"/>
      <c r="I2370" s="3"/>
      <c r="J2370" s="3"/>
      <c r="K2370" s="3"/>
      <c r="L2370" s="3"/>
      <c r="M2370" s="3"/>
      <c r="N2370" s="3"/>
    </row>
    <row r="2371" spans="1:14" ht="16.5" customHeight="1">
      <c r="A2371" s="3"/>
      <c r="B2371" s="3"/>
      <c r="C2371" s="3"/>
      <c r="D2371" s="3"/>
      <c r="E2371" s="3"/>
      <c r="F2371" s="3"/>
      <c r="G2371" s="3"/>
      <c r="H2371" s="3"/>
      <c r="I2371" s="3"/>
      <c r="J2371" s="3"/>
      <c r="K2371" s="3"/>
      <c r="L2371" s="3"/>
      <c r="M2371" s="3"/>
      <c r="N2371" s="3"/>
    </row>
    <row r="2372" spans="1:14" ht="16.5" customHeight="1">
      <c r="A2372" s="3"/>
      <c r="B2372" s="3"/>
      <c r="C2372" s="3"/>
      <c r="D2372" s="3"/>
      <c r="E2372" s="3"/>
      <c r="F2372" s="3"/>
      <c r="G2372" s="3"/>
      <c r="H2372" s="3"/>
      <c r="I2372" s="3"/>
      <c r="J2372" s="3"/>
      <c r="K2372" s="3"/>
      <c r="L2372" s="3"/>
      <c r="M2372" s="3"/>
      <c r="N2372" s="3"/>
    </row>
    <row r="2373" spans="1:14" ht="16.5" customHeight="1">
      <c r="A2373" s="3"/>
      <c r="B2373" s="3"/>
      <c r="C2373" s="3"/>
      <c r="D2373" s="3"/>
      <c r="E2373" s="3"/>
      <c r="F2373" s="3"/>
      <c r="G2373" s="3"/>
      <c r="H2373" s="3"/>
      <c r="I2373" s="3"/>
      <c r="J2373" s="3"/>
      <c r="K2373" s="3"/>
      <c r="L2373" s="3"/>
      <c r="M2373" s="3"/>
      <c r="N2373" s="3"/>
    </row>
    <row r="2374" spans="1:14" ht="16.5" customHeight="1">
      <c r="A2374" s="3"/>
      <c r="B2374" s="3"/>
      <c r="C2374" s="3"/>
      <c r="D2374" s="3"/>
      <c r="E2374" s="3"/>
      <c r="F2374" s="3"/>
      <c r="G2374" s="3"/>
      <c r="H2374" s="3"/>
      <c r="I2374" s="3"/>
      <c r="J2374" s="3"/>
      <c r="K2374" s="3"/>
      <c r="L2374" s="3"/>
      <c r="M2374" s="3"/>
      <c r="N2374" s="3"/>
    </row>
    <row r="2375" spans="1:14" ht="16.5" customHeight="1">
      <c r="A2375" s="3"/>
      <c r="B2375" s="3"/>
      <c r="C2375" s="3"/>
      <c r="D2375" s="3"/>
      <c r="E2375" s="3"/>
      <c r="F2375" s="3"/>
      <c r="G2375" s="3"/>
      <c r="H2375" s="3"/>
      <c r="I2375" s="3"/>
      <c r="J2375" s="3"/>
      <c r="K2375" s="3"/>
      <c r="L2375" s="3"/>
      <c r="M2375" s="3"/>
      <c r="N2375" s="3"/>
    </row>
    <row r="2376" spans="1:14" ht="16.5" customHeight="1">
      <c r="A2376" s="3"/>
      <c r="B2376" s="3"/>
      <c r="C2376" s="3"/>
      <c r="D2376" s="3"/>
      <c r="E2376" s="3"/>
      <c r="F2376" s="3"/>
      <c r="G2376" s="3"/>
      <c r="H2376" s="3"/>
      <c r="I2376" s="3"/>
      <c r="J2376" s="3"/>
      <c r="K2376" s="3"/>
      <c r="L2376" s="3"/>
      <c r="M2376" s="3"/>
      <c r="N2376" s="3"/>
    </row>
    <row r="2377" spans="1:14" ht="16.5" customHeight="1">
      <c r="A2377" s="3"/>
      <c r="B2377" s="3"/>
      <c r="C2377" s="3"/>
      <c r="D2377" s="3"/>
      <c r="E2377" s="3"/>
      <c r="F2377" s="3"/>
      <c r="G2377" s="3"/>
      <c r="H2377" s="3"/>
      <c r="I2377" s="3"/>
      <c r="J2377" s="3"/>
      <c r="K2377" s="3"/>
      <c r="L2377" s="3"/>
      <c r="M2377" s="3"/>
      <c r="N2377" s="3"/>
    </row>
    <row r="2378" spans="1:14" ht="16.5" customHeight="1">
      <c r="A2378" s="3"/>
      <c r="B2378" s="3"/>
      <c r="C2378" s="3"/>
      <c r="D2378" s="3"/>
      <c r="E2378" s="3"/>
      <c r="F2378" s="3"/>
      <c r="G2378" s="3"/>
      <c r="H2378" s="3"/>
      <c r="I2378" s="3"/>
      <c r="J2378" s="3"/>
      <c r="K2378" s="3"/>
      <c r="L2378" s="3"/>
      <c r="M2378" s="3"/>
      <c r="N2378" s="3"/>
    </row>
    <row r="2379" spans="1:14" ht="16.5" customHeight="1">
      <c r="A2379" s="3"/>
      <c r="B2379" s="3"/>
      <c r="C2379" s="3"/>
      <c r="D2379" s="3"/>
      <c r="E2379" s="3"/>
      <c r="F2379" s="3"/>
      <c r="G2379" s="3"/>
      <c r="H2379" s="3"/>
      <c r="I2379" s="3"/>
      <c r="J2379" s="3"/>
      <c r="K2379" s="3"/>
      <c r="L2379" s="3"/>
      <c r="M2379" s="3"/>
      <c r="N2379" s="3"/>
    </row>
    <row r="2380" spans="1:14" ht="16.5" customHeight="1">
      <c r="A2380" s="3"/>
      <c r="B2380" s="3"/>
      <c r="C2380" s="3"/>
      <c r="D2380" s="3"/>
      <c r="E2380" s="3"/>
      <c r="F2380" s="3"/>
      <c r="G2380" s="3"/>
      <c r="H2380" s="3"/>
      <c r="I2380" s="3"/>
      <c r="J2380" s="3"/>
      <c r="K2380" s="3"/>
      <c r="L2380" s="3"/>
      <c r="M2380" s="3"/>
      <c r="N2380" s="3"/>
    </row>
    <row r="2381" spans="1:14" ht="16.5" customHeight="1">
      <c r="A2381" s="3"/>
      <c r="B2381" s="3"/>
      <c r="C2381" s="3"/>
      <c r="D2381" s="3"/>
      <c r="E2381" s="3"/>
      <c r="F2381" s="3"/>
      <c r="G2381" s="3"/>
      <c r="H2381" s="3"/>
      <c r="I2381" s="3"/>
      <c r="J2381" s="3"/>
      <c r="K2381" s="3"/>
      <c r="L2381" s="3"/>
      <c r="M2381" s="3"/>
      <c r="N2381" s="3"/>
    </row>
    <row r="2382" spans="1:14" ht="16.5" customHeight="1">
      <c r="A2382" s="3"/>
      <c r="B2382" s="3"/>
      <c r="C2382" s="3"/>
      <c r="D2382" s="3"/>
      <c r="E2382" s="3"/>
      <c r="F2382" s="3"/>
      <c r="G2382" s="3"/>
      <c r="H2382" s="3"/>
      <c r="I2382" s="3"/>
      <c r="J2382" s="3"/>
      <c r="K2382" s="3"/>
      <c r="L2382" s="3"/>
      <c r="M2382" s="3"/>
      <c r="N2382" s="3"/>
    </row>
    <row r="2383" spans="1:14" ht="16.5" customHeight="1">
      <c r="A2383" s="3"/>
      <c r="B2383" s="3"/>
      <c r="C2383" s="3"/>
      <c r="D2383" s="3"/>
      <c r="E2383" s="3"/>
      <c r="F2383" s="3"/>
      <c r="G2383" s="3"/>
      <c r="H2383" s="3"/>
      <c r="I2383" s="3"/>
      <c r="J2383" s="3"/>
      <c r="K2383" s="3"/>
      <c r="L2383" s="3"/>
      <c r="M2383" s="3"/>
      <c r="N2383" s="3"/>
    </row>
    <row r="2384" spans="1:14" ht="16.5" customHeight="1">
      <c r="A2384" s="3"/>
      <c r="B2384" s="3"/>
      <c r="C2384" s="3"/>
      <c r="D2384" s="3"/>
      <c r="E2384" s="3"/>
      <c r="F2384" s="3"/>
      <c r="G2384" s="3"/>
      <c r="H2384" s="3"/>
      <c r="I2384" s="3"/>
      <c r="J2384" s="3"/>
      <c r="K2384" s="3"/>
      <c r="L2384" s="3"/>
      <c r="M2384" s="3"/>
      <c r="N2384" s="3"/>
    </row>
    <row r="2385" spans="1:14" ht="16.5" customHeight="1">
      <c r="A2385" s="3"/>
      <c r="B2385" s="3"/>
      <c r="C2385" s="3"/>
      <c r="D2385" s="3"/>
      <c r="E2385" s="3"/>
      <c r="F2385" s="3"/>
      <c r="G2385" s="3"/>
      <c r="H2385" s="3"/>
      <c r="I2385" s="3"/>
      <c r="J2385" s="3"/>
      <c r="K2385" s="3"/>
      <c r="L2385" s="3"/>
      <c r="M2385" s="3"/>
      <c r="N2385" s="3"/>
    </row>
    <row r="2386" spans="1:14" ht="16.5" customHeight="1">
      <c r="A2386" s="3"/>
      <c r="B2386" s="3"/>
      <c r="C2386" s="3"/>
      <c r="D2386" s="3"/>
      <c r="E2386" s="3"/>
      <c r="F2386" s="3"/>
      <c r="G2386" s="3"/>
      <c r="H2386" s="3"/>
      <c r="I2386" s="3"/>
      <c r="J2386" s="3"/>
      <c r="K2386" s="3"/>
      <c r="L2386" s="3"/>
      <c r="M2386" s="3"/>
      <c r="N2386" s="3"/>
    </row>
    <row r="2387" spans="1:14" ht="16.5" customHeight="1">
      <c r="A2387" s="3"/>
      <c r="B2387" s="3"/>
      <c r="C2387" s="3"/>
      <c r="D2387" s="3"/>
      <c r="E2387" s="3"/>
      <c r="F2387" s="3"/>
      <c r="G2387" s="3"/>
      <c r="H2387" s="3"/>
      <c r="I2387" s="3"/>
      <c r="J2387" s="3"/>
      <c r="K2387" s="3"/>
      <c r="L2387" s="3"/>
      <c r="M2387" s="3"/>
      <c r="N2387" s="3"/>
    </row>
    <row r="2388" spans="1:14" ht="16.5" customHeight="1">
      <c r="A2388" s="3"/>
      <c r="B2388" s="3"/>
      <c r="C2388" s="3"/>
      <c r="D2388" s="3"/>
      <c r="E2388" s="3"/>
      <c r="F2388" s="3"/>
      <c r="G2388" s="3"/>
      <c r="H2388" s="3"/>
      <c r="I2388" s="3"/>
      <c r="J2388" s="3"/>
      <c r="K2388" s="3"/>
      <c r="L2388" s="3"/>
      <c r="M2388" s="3"/>
      <c r="N2388" s="3"/>
    </row>
    <row r="2389" spans="1:14" ht="16.5" customHeight="1">
      <c r="A2389" s="3"/>
      <c r="B2389" s="3"/>
      <c r="C2389" s="3"/>
      <c r="D2389" s="3"/>
      <c r="E2389" s="3"/>
      <c r="F2389" s="3"/>
      <c r="G2389" s="3"/>
      <c r="H2389" s="3"/>
      <c r="I2389" s="3"/>
      <c r="J2389" s="3"/>
      <c r="K2389" s="3"/>
      <c r="L2389" s="3"/>
      <c r="M2389" s="3"/>
      <c r="N2389" s="3"/>
    </row>
    <row r="2390" spans="1:14" ht="16.5" customHeight="1">
      <c r="A2390" s="3"/>
      <c r="B2390" s="3"/>
      <c r="C2390" s="3"/>
      <c r="D2390" s="3"/>
      <c r="E2390" s="3"/>
      <c r="F2390" s="3"/>
      <c r="G2390" s="3"/>
      <c r="H2390" s="3"/>
      <c r="I2390" s="3"/>
      <c r="J2390" s="3"/>
      <c r="K2390" s="3"/>
      <c r="L2390" s="3"/>
      <c r="M2390" s="3"/>
      <c r="N2390" s="3"/>
    </row>
    <row r="2391" spans="1:14" ht="16.5" customHeight="1">
      <c r="A2391" s="3"/>
      <c r="B2391" s="3"/>
      <c r="C2391" s="3"/>
      <c r="D2391" s="3"/>
      <c r="E2391" s="3"/>
      <c r="F2391" s="3"/>
      <c r="G2391" s="3"/>
      <c r="H2391" s="3"/>
      <c r="I2391" s="3"/>
      <c r="J2391" s="3"/>
      <c r="K2391" s="3"/>
      <c r="L2391" s="3"/>
      <c r="M2391" s="3"/>
      <c r="N2391" s="3"/>
    </row>
    <row r="2392" spans="1:14" ht="16.5" customHeight="1">
      <c r="A2392" s="3"/>
      <c r="B2392" s="3"/>
      <c r="C2392" s="3"/>
      <c r="D2392" s="3"/>
      <c r="E2392" s="3"/>
      <c r="F2392" s="3"/>
      <c r="G2392" s="3"/>
      <c r="H2392" s="3"/>
      <c r="I2392" s="3"/>
      <c r="J2392" s="3"/>
      <c r="K2392" s="3"/>
      <c r="L2392" s="3"/>
      <c r="M2392" s="3"/>
      <c r="N2392" s="3"/>
    </row>
    <row r="2393" spans="1:14" ht="16.5" customHeight="1">
      <c r="A2393" s="3"/>
      <c r="B2393" s="3"/>
      <c r="C2393" s="3"/>
      <c r="D2393" s="3"/>
      <c r="E2393" s="3"/>
      <c r="F2393" s="3"/>
      <c r="G2393" s="3"/>
      <c r="H2393" s="3"/>
      <c r="I2393" s="3"/>
      <c r="J2393" s="3"/>
      <c r="K2393" s="3"/>
      <c r="L2393" s="3"/>
      <c r="M2393" s="3"/>
      <c r="N2393" s="3"/>
    </row>
    <row r="2394" spans="1:14" ht="16.5" customHeight="1">
      <c r="A2394" s="3"/>
      <c r="B2394" s="3"/>
      <c r="C2394" s="3"/>
      <c r="D2394" s="3"/>
      <c r="E2394" s="3"/>
      <c r="F2394" s="3"/>
      <c r="G2394" s="3"/>
      <c r="H2394" s="3"/>
      <c r="I2394" s="3"/>
      <c r="J2394" s="3"/>
      <c r="K2394" s="3"/>
      <c r="L2394" s="3"/>
      <c r="M2394" s="3"/>
      <c r="N2394" s="3"/>
    </row>
    <row r="2395" spans="1:14" ht="16.5" customHeight="1">
      <c r="A2395" s="3"/>
      <c r="B2395" s="3"/>
      <c r="C2395" s="3"/>
      <c r="D2395" s="3"/>
      <c r="E2395" s="3"/>
      <c r="F2395" s="3"/>
      <c r="G2395" s="3"/>
      <c r="H2395" s="3"/>
      <c r="I2395" s="3"/>
      <c r="J2395" s="3"/>
      <c r="K2395" s="3"/>
      <c r="L2395" s="3"/>
      <c r="M2395" s="3"/>
      <c r="N2395" s="3"/>
    </row>
    <row r="2396" spans="1:14" ht="16.5" customHeight="1">
      <c r="A2396" s="3"/>
      <c r="B2396" s="3"/>
      <c r="C2396" s="3"/>
      <c r="D2396" s="3"/>
      <c r="E2396" s="3"/>
      <c r="F2396" s="3"/>
      <c r="G2396" s="3"/>
      <c r="H2396" s="3"/>
      <c r="I2396" s="3"/>
      <c r="J2396" s="3"/>
      <c r="K2396" s="3"/>
      <c r="L2396" s="3"/>
      <c r="M2396" s="3"/>
      <c r="N2396" s="3"/>
    </row>
    <row r="2397" spans="1:14" ht="16.5" customHeight="1">
      <c r="A2397" s="3"/>
      <c r="B2397" s="3"/>
      <c r="C2397" s="3"/>
      <c r="D2397" s="3"/>
      <c r="E2397" s="3"/>
      <c r="F2397" s="3"/>
      <c r="G2397" s="3"/>
      <c r="H2397" s="3"/>
      <c r="I2397" s="3"/>
      <c r="J2397" s="3"/>
      <c r="K2397" s="3"/>
      <c r="L2397" s="3"/>
      <c r="M2397" s="3"/>
      <c r="N2397" s="3"/>
    </row>
    <row r="2398" spans="1:14" ht="16.5" customHeight="1">
      <c r="A2398" s="3"/>
      <c r="B2398" s="3"/>
      <c r="C2398" s="3"/>
      <c r="D2398" s="3"/>
      <c r="E2398" s="3"/>
      <c r="F2398" s="3"/>
      <c r="G2398" s="3"/>
      <c r="H2398" s="3"/>
      <c r="I2398" s="3"/>
      <c r="J2398" s="3"/>
      <c r="K2398" s="3"/>
      <c r="L2398" s="3"/>
      <c r="M2398" s="3"/>
      <c r="N2398" s="3"/>
    </row>
    <row r="2399" spans="1:14" ht="16.5" customHeight="1">
      <c r="A2399" s="3"/>
      <c r="B2399" s="3"/>
      <c r="C2399" s="3"/>
      <c r="D2399" s="3"/>
      <c r="E2399" s="3"/>
      <c r="F2399" s="3"/>
      <c r="G2399" s="3"/>
      <c r="H2399" s="3"/>
      <c r="I2399" s="3"/>
      <c r="J2399" s="3"/>
      <c r="K2399" s="3"/>
      <c r="L2399" s="3"/>
      <c r="M2399" s="3"/>
      <c r="N2399" s="3"/>
    </row>
    <row r="2400" spans="1:14" ht="16.5" customHeight="1">
      <c r="A2400" s="3"/>
      <c r="B2400" s="3"/>
      <c r="C2400" s="3"/>
      <c r="D2400" s="3"/>
      <c r="E2400" s="3"/>
      <c r="F2400" s="3"/>
      <c r="G2400" s="3"/>
      <c r="H2400" s="3"/>
      <c r="I2400" s="3"/>
      <c r="J2400" s="3"/>
      <c r="K2400" s="3"/>
      <c r="L2400" s="3"/>
      <c r="M2400" s="3"/>
      <c r="N2400" s="3"/>
    </row>
    <row r="2401" spans="1:14" ht="16.5" customHeight="1">
      <c r="A2401" s="3"/>
      <c r="B2401" s="3"/>
      <c r="C2401" s="3"/>
      <c r="D2401" s="3"/>
      <c r="E2401" s="3"/>
      <c r="F2401" s="3"/>
      <c r="G2401" s="3"/>
      <c r="H2401" s="3"/>
      <c r="I2401" s="3"/>
      <c r="J2401" s="3"/>
      <c r="K2401" s="3"/>
      <c r="L2401" s="3"/>
      <c r="M2401" s="3"/>
      <c r="N2401" s="3"/>
    </row>
    <row r="2402" spans="1:14" ht="16.5" customHeight="1">
      <c r="A2402" s="3"/>
      <c r="B2402" s="3"/>
      <c r="C2402" s="3"/>
      <c r="D2402" s="3"/>
      <c r="E2402" s="3"/>
      <c r="F2402" s="3"/>
      <c r="G2402" s="3"/>
      <c r="H2402" s="3"/>
      <c r="I2402" s="3"/>
      <c r="J2402" s="3"/>
      <c r="K2402" s="3"/>
      <c r="L2402" s="3"/>
      <c r="M2402" s="3"/>
      <c r="N2402" s="3"/>
    </row>
    <row r="2403" spans="1:14" ht="16.5" customHeight="1">
      <c r="A2403" s="3"/>
      <c r="B2403" s="3"/>
      <c r="C2403" s="3"/>
      <c r="D2403" s="3"/>
      <c r="E2403" s="3"/>
      <c r="F2403" s="3"/>
      <c r="G2403" s="3"/>
      <c r="H2403" s="3"/>
      <c r="I2403" s="3"/>
      <c r="J2403" s="3"/>
      <c r="K2403" s="3"/>
      <c r="L2403" s="3"/>
      <c r="M2403" s="3"/>
      <c r="N2403" s="3"/>
    </row>
    <row r="2404" spans="1:14" ht="16.5" customHeight="1">
      <c r="A2404" s="3"/>
      <c r="B2404" s="3"/>
      <c r="C2404" s="3"/>
      <c r="D2404" s="3"/>
      <c r="E2404" s="3"/>
      <c r="F2404" s="3"/>
      <c r="G2404" s="3"/>
      <c r="H2404" s="3"/>
      <c r="I2404" s="3"/>
      <c r="J2404" s="3"/>
      <c r="K2404" s="3"/>
      <c r="L2404" s="3"/>
      <c r="M2404" s="3"/>
      <c r="N2404" s="3"/>
    </row>
    <row r="2405" spans="1:14" ht="16.5" customHeight="1">
      <c r="A2405" s="3"/>
      <c r="B2405" s="3"/>
      <c r="C2405" s="3"/>
      <c r="D2405" s="3"/>
      <c r="E2405" s="3"/>
      <c r="F2405" s="3"/>
      <c r="G2405" s="3"/>
      <c r="H2405" s="3"/>
      <c r="I2405" s="3"/>
      <c r="J2405" s="3"/>
      <c r="K2405" s="3"/>
      <c r="L2405" s="3"/>
      <c r="M2405" s="3"/>
      <c r="N2405" s="3"/>
    </row>
    <row r="2406" spans="1:14" ht="16.5" customHeight="1">
      <c r="A2406" s="3"/>
      <c r="B2406" s="3"/>
      <c r="C2406" s="3"/>
      <c r="D2406" s="3"/>
      <c r="E2406" s="3"/>
      <c r="F2406" s="3"/>
      <c r="G2406" s="3"/>
      <c r="H2406" s="3"/>
      <c r="I2406" s="3"/>
      <c r="J2406" s="3"/>
      <c r="K2406" s="3"/>
      <c r="L2406" s="3"/>
      <c r="M2406" s="3"/>
      <c r="N2406" s="3"/>
    </row>
    <row r="2407" spans="1:14" ht="16.5" customHeight="1">
      <c r="A2407" s="3"/>
      <c r="B2407" s="3"/>
      <c r="C2407" s="3"/>
      <c r="D2407" s="3"/>
      <c r="E2407" s="3"/>
      <c r="F2407" s="3"/>
      <c r="G2407" s="3"/>
      <c r="H2407" s="3"/>
      <c r="I2407" s="3"/>
      <c r="J2407" s="3"/>
      <c r="K2407" s="3"/>
      <c r="L2407" s="3"/>
      <c r="M2407" s="3"/>
      <c r="N2407" s="3"/>
    </row>
    <row r="2408" spans="1:14" ht="16.5" customHeight="1">
      <c r="A2408" s="3"/>
      <c r="B2408" s="3"/>
      <c r="C2408" s="3"/>
      <c r="D2408" s="3"/>
      <c r="E2408" s="3"/>
      <c r="F2408" s="3"/>
      <c r="G2408" s="3"/>
      <c r="H2408" s="3"/>
      <c r="I2408" s="3"/>
      <c r="J2408" s="3"/>
      <c r="K2408" s="3"/>
      <c r="L2408" s="3"/>
      <c r="M2408" s="3"/>
      <c r="N2408" s="3"/>
    </row>
    <row r="2409" spans="1:14" ht="16.5" customHeight="1">
      <c r="A2409" s="3"/>
      <c r="B2409" s="3"/>
      <c r="C2409" s="3"/>
      <c r="D2409" s="3"/>
      <c r="E2409" s="3"/>
      <c r="F2409" s="3"/>
      <c r="G2409" s="3"/>
      <c r="H2409" s="3"/>
      <c r="I2409" s="3"/>
      <c r="J2409" s="3"/>
      <c r="K2409" s="3"/>
      <c r="L2409" s="3"/>
      <c r="M2409" s="3"/>
      <c r="N2409" s="3"/>
    </row>
    <row r="2410" spans="1:14" ht="16.5" customHeight="1">
      <c r="A2410" s="3"/>
      <c r="B2410" s="3"/>
      <c r="C2410" s="3"/>
      <c r="D2410" s="3"/>
      <c r="E2410" s="3"/>
      <c r="F2410" s="3"/>
      <c r="G2410" s="3"/>
      <c r="H2410" s="3"/>
      <c r="I2410" s="3"/>
      <c r="J2410" s="3"/>
      <c r="K2410" s="3"/>
      <c r="L2410" s="3"/>
      <c r="M2410" s="3"/>
      <c r="N2410" s="3"/>
    </row>
    <row r="2411" spans="1:14" ht="16.5" customHeight="1">
      <c r="A2411" s="3"/>
      <c r="B2411" s="3"/>
      <c r="C2411" s="3"/>
      <c r="D2411" s="3"/>
      <c r="E2411" s="3"/>
      <c r="F2411" s="3"/>
      <c r="G2411" s="3"/>
      <c r="H2411" s="3"/>
      <c r="I2411" s="3"/>
      <c r="J2411" s="3"/>
      <c r="K2411" s="3"/>
      <c r="L2411" s="3"/>
      <c r="M2411" s="3"/>
      <c r="N2411" s="3"/>
    </row>
    <row r="2412" spans="1:14" ht="16.5" customHeight="1">
      <c r="A2412" s="3"/>
      <c r="B2412" s="3"/>
      <c r="C2412" s="3"/>
      <c r="D2412" s="3"/>
      <c r="E2412" s="3"/>
      <c r="F2412" s="3"/>
      <c r="G2412" s="3"/>
      <c r="H2412" s="3"/>
      <c r="I2412" s="3"/>
      <c r="J2412" s="3"/>
      <c r="K2412" s="3"/>
      <c r="L2412" s="3"/>
      <c r="M2412" s="3"/>
      <c r="N2412" s="3"/>
    </row>
    <row r="2413" spans="1:14" ht="16.5" customHeight="1">
      <c r="A2413" s="3"/>
      <c r="B2413" s="3"/>
      <c r="C2413" s="3"/>
      <c r="D2413" s="3"/>
      <c r="E2413" s="3"/>
      <c r="F2413" s="3"/>
      <c r="G2413" s="3"/>
      <c r="H2413" s="3"/>
      <c r="I2413" s="3"/>
      <c r="J2413" s="3"/>
      <c r="K2413" s="3"/>
      <c r="L2413" s="3"/>
      <c r="M2413" s="3"/>
      <c r="N2413" s="3"/>
    </row>
    <row r="2414" spans="1:14" ht="16.5" customHeight="1">
      <c r="A2414" s="3"/>
      <c r="B2414" s="3"/>
      <c r="C2414" s="3"/>
      <c r="D2414" s="3"/>
      <c r="E2414" s="3"/>
      <c r="F2414" s="3"/>
      <c r="G2414" s="3"/>
      <c r="H2414" s="3"/>
      <c r="I2414" s="3"/>
      <c r="J2414" s="3"/>
      <c r="K2414" s="3"/>
      <c r="L2414" s="3"/>
      <c r="M2414" s="3"/>
      <c r="N2414" s="3"/>
    </row>
    <row r="2415" spans="1:14" ht="16.5" customHeight="1">
      <c r="A2415" s="3"/>
      <c r="B2415" s="3"/>
      <c r="C2415" s="3"/>
      <c r="D2415" s="3"/>
      <c r="E2415" s="3"/>
      <c r="F2415" s="3"/>
      <c r="G2415" s="3"/>
      <c r="H2415" s="3"/>
      <c r="I2415" s="3"/>
      <c r="J2415" s="3"/>
      <c r="K2415" s="3"/>
      <c r="L2415" s="3"/>
      <c r="M2415" s="3"/>
      <c r="N2415" s="3"/>
    </row>
    <row r="2416" spans="1:14" ht="16.5" customHeight="1">
      <c r="A2416" s="3"/>
      <c r="B2416" s="3"/>
      <c r="C2416" s="3"/>
      <c r="D2416" s="3"/>
      <c r="E2416" s="3"/>
      <c r="F2416" s="3"/>
      <c r="G2416" s="3"/>
      <c r="H2416" s="3"/>
      <c r="I2416" s="3"/>
      <c r="J2416" s="3"/>
      <c r="K2416" s="3"/>
      <c r="L2416" s="3"/>
      <c r="M2416" s="3"/>
      <c r="N2416" s="3"/>
    </row>
    <row r="2417" spans="1:14" ht="16.5" customHeight="1">
      <c r="A2417" s="3"/>
      <c r="B2417" s="3"/>
      <c r="C2417" s="3"/>
      <c r="D2417" s="3"/>
      <c r="E2417" s="3"/>
      <c r="F2417" s="3"/>
      <c r="G2417" s="3"/>
      <c r="H2417" s="3"/>
      <c r="I2417" s="3"/>
      <c r="J2417" s="3"/>
      <c r="K2417" s="3"/>
      <c r="L2417" s="3"/>
      <c r="M2417" s="3"/>
      <c r="N2417" s="3"/>
    </row>
    <row r="2418" spans="1:14" ht="16.5" customHeight="1">
      <c r="A2418" s="3"/>
      <c r="B2418" s="3"/>
      <c r="C2418" s="3"/>
      <c r="D2418" s="3"/>
      <c r="E2418" s="3"/>
      <c r="F2418" s="3"/>
      <c r="G2418" s="3"/>
      <c r="H2418" s="3"/>
      <c r="I2418" s="3"/>
      <c r="J2418" s="3"/>
      <c r="K2418" s="3"/>
      <c r="L2418" s="3"/>
      <c r="M2418" s="3"/>
      <c r="N2418" s="3"/>
    </row>
    <row r="2419" spans="1:14" ht="16.5" customHeight="1">
      <c r="A2419" s="3"/>
      <c r="B2419" s="3"/>
      <c r="C2419" s="3"/>
      <c r="D2419" s="3"/>
      <c r="E2419" s="3"/>
      <c r="F2419" s="3"/>
      <c r="G2419" s="3"/>
      <c r="H2419" s="3"/>
      <c r="I2419" s="3"/>
      <c r="J2419" s="3"/>
      <c r="K2419" s="3"/>
      <c r="L2419" s="3"/>
      <c r="M2419" s="3"/>
      <c r="N2419" s="3"/>
    </row>
    <row r="2420" spans="1:14" ht="16.5" customHeight="1">
      <c r="A2420" s="3"/>
      <c r="B2420" s="3"/>
      <c r="C2420" s="3"/>
      <c r="D2420" s="3"/>
      <c r="E2420" s="3"/>
      <c r="F2420" s="3"/>
      <c r="G2420" s="3"/>
      <c r="H2420" s="3"/>
      <c r="I2420" s="3"/>
      <c r="J2420" s="3"/>
      <c r="K2420" s="3"/>
      <c r="L2420" s="3"/>
      <c r="M2420" s="3"/>
      <c r="N2420" s="3"/>
    </row>
    <row r="2421" spans="1:14" ht="16.5" customHeight="1">
      <c r="A2421" s="3"/>
      <c r="B2421" s="3"/>
      <c r="C2421" s="3"/>
      <c r="D2421" s="3"/>
      <c r="E2421" s="3"/>
      <c r="F2421" s="3"/>
      <c r="G2421" s="3"/>
      <c r="H2421" s="3"/>
      <c r="I2421" s="3"/>
      <c r="J2421" s="3"/>
      <c r="K2421" s="3"/>
      <c r="L2421" s="3"/>
      <c r="M2421" s="3"/>
      <c r="N2421" s="3"/>
    </row>
    <row r="2422" spans="1:14" ht="16.5" customHeight="1">
      <c r="A2422" s="3"/>
      <c r="B2422" s="3"/>
      <c r="C2422" s="3"/>
      <c r="D2422" s="3"/>
      <c r="E2422" s="3"/>
      <c r="F2422" s="3"/>
      <c r="G2422" s="3"/>
      <c r="H2422" s="3"/>
      <c r="I2422" s="3"/>
      <c r="J2422" s="3"/>
      <c r="K2422" s="3"/>
      <c r="L2422" s="3"/>
      <c r="M2422" s="3"/>
      <c r="N2422" s="3"/>
    </row>
    <row r="2423" spans="1:14" ht="16.5" customHeight="1">
      <c r="A2423" s="3"/>
      <c r="B2423" s="3"/>
      <c r="C2423" s="3"/>
      <c r="D2423" s="3"/>
      <c r="E2423" s="3"/>
      <c r="F2423" s="3"/>
      <c r="G2423" s="3"/>
      <c r="H2423" s="3"/>
      <c r="I2423" s="3"/>
      <c r="J2423" s="3"/>
      <c r="K2423" s="3"/>
      <c r="L2423" s="3"/>
      <c r="M2423" s="3"/>
      <c r="N2423" s="3"/>
    </row>
    <row r="2424" spans="1:14" ht="16.5" customHeight="1">
      <c r="A2424" s="3"/>
      <c r="B2424" s="3"/>
      <c r="C2424" s="3"/>
      <c r="D2424" s="3"/>
      <c r="E2424" s="3"/>
      <c r="F2424" s="3"/>
      <c r="G2424" s="3"/>
      <c r="H2424" s="3"/>
      <c r="I2424" s="3"/>
      <c r="J2424" s="3"/>
      <c r="K2424" s="3"/>
      <c r="L2424" s="3"/>
      <c r="M2424" s="3"/>
      <c r="N2424" s="3"/>
    </row>
    <row r="2425" spans="1:14" ht="16.5" customHeight="1">
      <c r="A2425" s="3"/>
      <c r="B2425" s="3"/>
      <c r="C2425" s="3"/>
      <c r="D2425" s="3"/>
      <c r="E2425" s="3"/>
      <c r="F2425" s="3"/>
      <c r="G2425" s="3"/>
      <c r="H2425" s="3"/>
      <c r="I2425" s="3"/>
      <c r="J2425" s="3"/>
      <c r="K2425" s="3"/>
      <c r="L2425" s="3"/>
      <c r="M2425" s="3"/>
      <c r="N2425" s="3"/>
    </row>
    <row r="2426" spans="1:14" ht="16.5" customHeight="1">
      <c r="A2426" s="3"/>
      <c r="B2426" s="3"/>
      <c r="C2426" s="3"/>
      <c r="D2426" s="3"/>
      <c r="E2426" s="3"/>
      <c r="F2426" s="3"/>
      <c r="G2426" s="3"/>
      <c r="H2426" s="3"/>
      <c r="I2426" s="3"/>
      <c r="J2426" s="3"/>
      <c r="K2426" s="3"/>
      <c r="L2426" s="3"/>
      <c r="M2426" s="3"/>
      <c r="N2426" s="3"/>
    </row>
    <row r="2427" spans="1:14" ht="16.5" customHeight="1">
      <c r="A2427" s="3"/>
      <c r="B2427" s="3"/>
      <c r="C2427" s="3"/>
      <c r="D2427" s="3"/>
      <c r="E2427" s="3"/>
      <c r="F2427" s="3"/>
      <c r="G2427" s="3"/>
      <c r="H2427" s="3"/>
      <c r="I2427" s="3"/>
      <c r="J2427" s="3"/>
      <c r="K2427" s="3"/>
      <c r="L2427" s="3"/>
      <c r="M2427" s="3"/>
      <c r="N2427" s="3"/>
    </row>
    <row r="2428" spans="1:14" ht="16.5" customHeight="1">
      <c r="A2428" s="3"/>
      <c r="B2428" s="3"/>
      <c r="C2428" s="3"/>
      <c r="D2428" s="3"/>
      <c r="E2428" s="3"/>
      <c r="F2428" s="3"/>
      <c r="G2428" s="3"/>
      <c r="H2428" s="3"/>
      <c r="I2428" s="3"/>
      <c r="J2428" s="3"/>
      <c r="K2428" s="3"/>
      <c r="L2428" s="3"/>
      <c r="M2428" s="3"/>
      <c r="N2428" s="3"/>
    </row>
    <row r="2429" spans="1:14" ht="16.5" customHeight="1">
      <c r="A2429" s="3"/>
      <c r="B2429" s="3"/>
      <c r="C2429" s="3"/>
      <c r="D2429" s="3"/>
      <c r="E2429" s="3"/>
      <c r="F2429" s="3"/>
      <c r="G2429" s="3"/>
      <c r="H2429" s="3"/>
      <c r="I2429" s="3"/>
      <c r="J2429" s="3"/>
      <c r="K2429" s="3"/>
      <c r="L2429" s="3"/>
      <c r="M2429" s="3"/>
      <c r="N2429" s="3"/>
    </row>
    <row r="2430" spans="1:14" ht="16.5" customHeight="1">
      <c r="A2430" s="3"/>
      <c r="B2430" s="3"/>
      <c r="C2430" s="3"/>
      <c r="D2430" s="3"/>
      <c r="E2430" s="3"/>
      <c r="F2430" s="3"/>
      <c r="G2430" s="3"/>
      <c r="H2430" s="3"/>
      <c r="I2430" s="3"/>
      <c r="J2430" s="3"/>
      <c r="K2430" s="3"/>
      <c r="L2430" s="3"/>
      <c r="M2430" s="3"/>
      <c r="N2430" s="3"/>
    </row>
    <row r="2431" spans="1:14" ht="16.5" customHeight="1">
      <c r="A2431" s="3"/>
      <c r="B2431" s="3"/>
      <c r="C2431" s="3"/>
      <c r="D2431" s="3"/>
      <c r="E2431" s="3"/>
      <c r="F2431" s="3"/>
      <c r="G2431" s="3"/>
      <c r="H2431" s="3"/>
      <c r="I2431" s="3"/>
      <c r="J2431" s="3"/>
      <c r="K2431" s="3"/>
      <c r="L2431" s="3"/>
      <c r="M2431" s="3"/>
      <c r="N2431" s="3"/>
    </row>
    <row r="2432" spans="1:14" ht="16.5" customHeight="1">
      <c r="A2432" s="3"/>
      <c r="B2432" s="3"/>
      <c r="C2432" s="3"/>
      <c r="D2432" s="3"/>
      <c r="E2432" s="3"/>
      <c r="F2432" s="3"/>
      <c r="G2432" s="3"/>
      <c r="H2432" s="3"/>
      <c r="I2432" s="3"/>
      <c r="J2432" s="3"/>
      <c r="K2432" s="3"/>
      <c r="L2432" s="3"/>
      <c r="M2432" s="3"/>
      <c r="N2432" s="3"/>
    </row>
    <row r="2433" spans="1:14" ht="16.5" customHeight="1">
      <c r="A2433" s="3"/>
      <c r="B2433" s="3"/>
      <c r="C2433" s="3"/>
      <c r="D2433" s="3"/>
      <c r="E2433" s="3"/>
      <c r="F2433" s="3"/>
      <c r="G2433" s="3"/>
      <c r="H2433" s="3"/>
      <c r="I2433" s="3"/>
      <c r="J2433" s="3"/>
      <c r="K2433" s="3"/>
      <c r="L2433" s="3"/>
      <c r="M2433" s="3"/>
      <c r="N2433" s="3"/>
    </row>
    <row r="2434" spans="1:14" ht="16.5" customHeight="1">
      <c r="A2434" s="3"/>
      <c r="B2434" s="3"/>
      <c r="C2434" s="3"/>
      <c r="D2434" s="3"/>
      <c r="E2434" s="3"/>
      <c r="F2434" s="3"/>
      <c r="G2434" s="3"/>
      <c r="H2434" s="3"/>
      <c r="I2434" s="3"/>
      <c r="J2434" s="3"/>
      <c r="K2434" s="3"/>
      <c r="L2434" s="3"/>
      <c r="M2434" s="3"/>
      <c r="N2434" s="3"/>
    </row>
    <row r="2435" spans="1:14" ht="16.5" customHeight="1">
      <c r="A2435" s="3"/>
      <c r="B2435" s="3"/>
      <c r="C2435" s="3"/>
      <c r="D2435" s="3"/>
      <c r="E2435" s="3"/>
      <c r="F2435" s="3"/>
      <c r="G2435" s="3"/>
      <c r="H2435" s="3"/>
      <c r="I2435" s="3"/>
      <c r="J2435" s="3"/>
      <c r="K2435" s="3"/>
      <c r="L2435" s="3"/>
      <c r="M2435" s="3"/>
      <c r="N2435" s="3"/>
    </row>
    <row r="2436" spans="1:14" ht="16.5" customHeight="1">
      <c r="A2436" s="3"/>
      <c r="B2436" s="3"/>
      <c r="C2436" s="3"/>
      <c r="D2436" s="3"/>
      <c r="E2436" s="3"/>
      <c r="F2436" s="3"/>
      <c r="G2436" s="3"/>
      <c r="H2436" s="3"/>
      <c r="I2436" s="3"/>
      <c r="J2436" s="3"/>
      <c r="K2436" s="3"/>
      <c r="L2436" s="3"/>
      <c r="M2436" s="3"/>
      <c r="N2436" s="3"/>
    </row>
    <row r="2437" spans="1:14" ht="16.5" customHeight="1">
      <c r="A2437" s="3"/>
      <c r="B2437" s="3"/>
      <c r="C2437" s="3"/>
      <c r="D2437" s="3"/>
      <c r="E2437" s="3"/>
      <c r="F2437" s="3"/>
      <c r="G2437" s="3"/>
      <c r="H2437" s="3"/>
      <c r="I2437" s="3"/>
      <c r="J2437" s="3"/>
      <c r="K2437" s="3"/>
      <c r="L2437" s="3"/>
      <c r="M2437" s="3"/>
      <c r="N2437" s="3"/>
    </row>
    <row r="2438" spans="1:14" ht="16.5" customHeight="1">
      <c r="A2438" s="3"/>
      <c r="B2438" s="3"/>
      <c r="C2438" s="3"/>
      <c r="D2438" s="3"/>
      <c r="E2438" s="3"/>
      <c r="F2438" s="3"/>
      <c r="G2438" s="3"/>
      <c r="H2438" s="3"/>
      <c r="I2438" s="3"/>
      <c r="J2438" s="3"/>
      <c r="K2438" s="3"/>
      <c r="L2438" s="3"/>
      <c r="M2438" s="3"/>
      <c r="N2438" s="3"/>
    </row>
    <row r="2439" spans="1:14" ht="16.5" customHeight="1">
      <c r="A2439" s="3"/>
      <c r="B2439" s="3"/>
      <c r="C2439" s="3"/>
      <c r="D2439" s="3"/>
      <c r="E2439" s="3"/>
      <c r="F2439" s="3"/>
      <c r="G2439" s="3"/>
      <c r="H2439" s="3"/>
      <c r="I2439" s="3"/>
      <c r="J2439" s="3"/>
      <c r="K2439" s="3"/>
      <c r="L2439" s="3"/>
      <c r="M2439" s="3"/>
      <c r="N2439" s="3"/>
    </row>
    <row r="2440" spans="1:14" ht="16.5" customHeight="1">
      <c r="A2440" s="3"/>
      <c r="B2440" s="3"/>
      <c r="C2440" s="3"/>
      <c r="D2440" s="3"/>
      <c r="E2440" s="3"/>
      <c r="F2440" s="3"/>
      <c r="G2440" s="3"/>
      <c r="H2440" s="3"/>
      <c r="I2440" s="3"/>
      <c r="J2440" s="3"/>
      <c r="K2440" s="3"/>
      <c r="L2440" s="3"/>
      <c r="M2440" s="3"/>
      <c r="N2440" s="3"/>
    </row>
    <row r="2441" spans="1:14" ht="16.5" customHeight="1">
      <c r="A2441" s="3"/>
      <c r="B2441" s="3"/>
      <c r="C2441" s="3"/>
      <c r="D2441" s="3"/>
      <c r="E2441" s="3"/>
      <c r="F2441" s="3"/>
      <c r="G2441" s="3"/>
      <c r="H2441" s="3"/>
      <c r="I2441" s="3"/>
      <c r="J2441" s="3"/>
      <c r="K2441" s="3"/>
      <c r="L2441" s="3"/>
      <c r="M2441" s="3"/>
      <c r="N2441" s="3"/>
    </row>
    <row r="2442" spans="1:14" ht="16.5" customHeight="1">
      <c r="A2442" s="3"/>
      <c r="B2442" s="3"/>
      <c r="C2442" s="3"/>
      <c r="D2442" s="3"/>
      <c r="E2442" s="3"/>
      <c r="F2442" s="3"/>
      <c r="G2442" s="3"/>
      <c r="H2442" s="3"/>
      <c r="I2442" s="3"/>
      <c r="J2442" s="3"/>
      <c r="K2442" s="3"/>
      <c r="L2442" s="3"/>
      <c r="M2442" s="3"/>
      <c r="N2442" s="3"/>
    </row>
    <row r="2443" spans="1:14" ht="16.5" customHeight="1">
      <c r="A2443" s="3"/>
      <c r="B2443" s="3"/>
      <c r="C2443" s="3"/>
      <c r="D2443" s="3"/>
      <c r="E2443" s="3"/>
      <c r="F2443" s="3"/>
      <c r="G2443" s="3"/>
      <c r="H2443" s="3"/>
      <c r="I2443" s="3"/>
      <c r="J2443" s="3"/>
      <c r="K2443" s="3"/>
      <c r="L2443" s="3"/>
      <c r="M2443" s="3"/>
      <c r="N2443" s="3"/>
    </row>
    <row r="2444" spans="1:14" ht="16.5" customHeight="1">
      <c r="A2444" s="3"/>
      <c r="B2444" s="3"/>
      <c r="C2444" s="3"/>
      <c r="D2444" s="3"/>
      <c r="E2444" s="3"/>
      <c r="F2444" s="3"/>
      <c r="G2444" s="3"/>
      <c r="H2444" s="3"/>
      <c r="I2444" s="3"/>
      <c r="J2444" s="3"/>
      <c r="K2444" s="3"/>
      <c r="L2444" s="3"/>
      <c r="M2444" s="3"/>
      <c r="N2444" s="3"/>
    </row>
    <row r="2445" spans="1:14" ht="16.5" customHeight="1">
      <c r="A2445" s="3"/>
      <c r="B2445" s="3"/>
      <c r="C2445" s="3"/>
      <c r="D2445" s="3"/>
      <c r="E2445" s="3"/>
      <c r="F2445" s="3"/>
      <c r="G2445" s="3"/>
      <c r="H2445" s="3"/>
      <c r="I2445" s="3"/>
      <c r="J2445" s="3"/>
      <c r="K2445" s="3"/>
      <c r="L2445" s="3"/>
      <c r="M2445" s="3"/>
      <c r="N2445" s="3"/>
    </row>
    <row r="2446" spans="1:14" ht="16.5" customHeight="1">
      <c r="A2446" s="3"/>
      <c r="B2446" s="3"/>
      <c r="C2446" s="3"/>
      <c r="D2446" s="3"/>
      <c r="E2446" s="3"/>
      <c r="F2446" s="3"/>
      <c r="G2446" s="3"/>
      <c r="H2446" s="3"/>
      <c r="I2446" s="3"/>
      <c r="J2446" s="3"/>
      <c r="K2446" s="3"/>
      <c r="L2446" s="3"/>
      <c r="M2446" s="3"/>
      <c r="N2446" s="3"/>
    </row>
    <row r="2447" spans="1:14" ht="16.5" customHeight="1">
      <c r="A2447" s="3"/>
      <c r="B2447" s="3"/>
      <c r="C2447" s="3"/>
      <c r="D2447" s="3"/>
      <c r="E2447" s="3"/>
      <c r="F2447" s="3"/>
      <c r="G2447" s="3"/>
      <c r="H2447" s="3"/>
      <c r="I2447" s="3"/>
      <c r="J2447" s="3"/>
      <c r="K2447" s="3"/>
      <c r="L2447" s="3"/>
      <c r="M2447" s="3"/>
      <c r="N2447" s="3"/>
    </row>
    <row r="2448" spans="1:14" ht="16.5" customHeight="1">
      <c r="A2448" s="3"/>
      <c r="B2448" s="3"/>
      <c r="C2448" s="3"/>
      <c r="D2448" s="3"/>
      <c r="E2448" s="3"/>
      <c r="F2448" s="3"/>
      <c r="G2448" s="3"/>
      <c r="H2448" s="3"/>
      <c r="I2448" s="3"/>
      <c r="J2448" s="3"/>
      <c r="K2448" s="3"/>
      <c r="L2448" s="3"/>
      <c r="M2448" s="3"/>
      <c r="N2448" s="3"/>
    </row>
    <row r="2449" spans="1:14" ht="16.5" customHeight="1">
      <c r="A2449" s="3"/>
      <c r="B2449" s="3"/>
      <c r="C2449" s="3"/>
      <c r="D2449" s="3"/>
      <c r="E2449" s="3"/>
      <c r="F2449" s="3"/>
      <c r="G2449" s="3"/>
      <c r="H2449" s="3"/>
      <c r="I2449" s="3"/>
      <c r="J2449" s="3"/>
      <c r="K2449" s="3"/>
      <c r="L2449" s="3"/>
      <c r="M2449" s="3"/>
      <c r="N2449" s="3"/>
    </row>
    <row r="2450" spans="1:14" ht="16.5" customHeight="1">
      <c r="A2450" s="3"/>
      <c r="B2450" s="3"/>
      <c r="C2450" s="3"/>
      <c r="D2450" s="3"/>
      <c r="E2450" s="3"/>
      <c r="F2450" s="3"/>
      <c r="G2450" s="3"/>
      <c r="H2450" s="3"/>
      <c r="I2450" s="3"/>
      <c r="J2450" s="3"/>
      <c r="K2450" s="3"/>
      <c r="L2450" s="3"/>
      <c r="M2450" s="3"/>
      <c r="N2450" s="3"/>
    </row>
    <row r="2451" spans="1:14" ht="16.5" customHeight="1">
      <c r="A2451" s="3"/>
      <c r="B2451" s="3"/>
      <c r="C2451" s="3"/>
      <c r="D2451" s="3"/>
      <c r="E2451" s="3"/>
      <c r="F2451" s="3"/>
      <c r="G2451" s="3"/>
      <c r="H2451" s="3"/>
      <c r="I2451" s="3"/>
      <c r="J2451" s="3"/>
      <c r="K2451" s="3"/>
      <c r="L2451" s="3"/>
      <c r="M2451" s="3"/>
      <c r="N2451" s="3"/>
    </row>
    <row r="2452" spans="1:14" ht="16.5" customHeight="1">
      <c r="A2452" s="3"/>
      <c r="B2452" s="3"/>
      <c r="C2452" s="3"/>
      <c r="D2452" s="3"/>
      <c r="E2452" s="3"/>
      <c r="F2452" s="3"/>
      <c r="G2452" s="3"/>
      <c r="H2452" s="3"/>
      <c r="I2452" s="3"/>
      <c r="J2452" s="3"/>
      <c r="K2452" s="3"/>
      <c r="L2452" s="3"/>
      <c r="M2452" s="3"/>
      <c r="N2452" s="3"/>
    </row>
    <row r="2453" spans="1:14" ht="16.5" customHeight="1">
      <c r="A2453" s="3"/>
      <c r="B2453" s="3"/>
      <c r="C2453" s="3"/>
      <c r="D2453" s="3"/>
      <c r="E2453" s="3"/>
      <c r="F2453" s="3"/>
      <c r="G2453" s="3"/>
      <c r="H2453" s="3"/>
      <c r="I2453" s="3"/>
      <c r="J2453" s="3"/>
      <c r="K2453" s="3"/>
      <c r="L2453" s="3"/>
      <c r="M2453" s="3"/>
      <c r="N2453" s="3"/>
    </row>
    <row r="2454" spans="1:14" ht="16.5" customHeight="1">
      <c r="A2454" s="3"/>
      <c r="B2454" s="3"/>
      <c r="C2454" s="3"/>
      <c r="D2454" s="3"/>
      <c r="E2454" s="3"/>
      <c r="F2454" s="3"/>
      <c r="G2454" s="3"/>
      <c r="H2454" s="3"/>
      <c r="I2454" s="3"/>
      <c r="J2454" s="3"/>
      <c r="K2454" s="3"/>
      <c r="L2454" s="3"/>
      <c r="M2454" s="3"/>
      <c r="N2454" s="3"/>
    </row>
    <row r="2455" spans="1:14" ht="16.5" customHeight="1">
      <c r="A2455" s="3"/>
      <c r="B2455" s="3"/>
      <c r="C2455" s="3"/>
      <c r="D2455" s="3"/>
      <c r="E2455" s="3"/>
      <c r="F2455" s="3"/>
      <c r="G2455" s="3"/>
      <c r="H2455" s="3"/>
      <c r="I2455" s="3"/>
      <c r="J2455" s="3"/>
      <c r="K2455" s="3"/>
      <c r="L2455" s="3"/>
      <c r="M2455" s="3"/>
      <c r="N2455" s="3"/>
    </row>
    <row r="2456" spans="1:14" ht="16.5" customHeight="1">
      <c r="A2456" s="3"/>
      <c r="B2456" s="3"/>
      <c r="C2456" s="3"/>
      <c r="D2456" s="3"/>
      <c r="E2456" s="3"/>
      <c r="F2456" s="3"/>
      <c r="G2456" s="3"/>
      <c r="H2456" s="3"/>
      <c r="I2456" s="3"/>
      <c r="J2456" s="3"/>
      <c r="K2456" s="3"/>
      <c r="L2456" s="3"/>
      <c r="M2456" s="3"/>
      <c r="N2456" s="3"/>
    </row>
    <row r="2457" spans="1:14" ht="16.5" customHeight="1">
      <c r="A2457" s="3"/>
      <c r="B2457" s="3"/>
      <c r="C2457" s="3"/>
      <c r="D2457" s="3"/>
      <c r="E2457" s="3"/>
      <c r="F2457" s="3"/>
      <c r="G2457" s="3"/>
      <c r="H2457" s="3"/>
      <c r="I2457" s="3"/>
      <c r="J2457" s="3"/>
      <c r="K2457" s="3"/>
      <c r="L2457" s="3"/>
      <c r="M2457" s="3"/>
      <c r="N2457" s="3"/>
    </row>
    <row r="2458" spans="1:14" ht="16.5" customHeight="1">
      <c r="A2458" s="3"/>
      <c r="B2458" s="3"/>
      <c r="C2458" s="3"/>
      <c r="D2458" s="3"/>
      <c r="E2458" s="3"/>
      <c r="F2458" s="3"/>
      <c r="G2458" s="3"/>
      <c r="H2458" s="3"/>
      <c r="I2458" s="3"/>
      <c r="J2458" s="3"/>
      <c r="K2458" s="3"/>
      <c r="L2458" s="3"/>
      <c r="M2458" s="3"/>
      <c r="N2458" s="3"/>
    </row>
    <row r="2459" spans="1:14" ht="16.5" customHeight="1">
      <c r="A2459" s="3"/>
      <c r="B2459" s="3"/>
      <c r="C2459" s="3"/>
      <c r="D2459" s="3"/>
      <c r="E2459" s="3"/>
      <c r="F2459" s="3"/>
      <c r="G2459" s="3"/>
      <c r="H2459" s="3"/>
      <c r="I2459" s="3"/>
      <c r="J2459" s="3"/>
      <c r="K2459" s="3"/>
      <c r="L2459" s="3"/>
      <c r="M2459" s="3"/>
      <c r="N2459" s="3"/>
    </row>
    <row r="2460" spans="1:14" ht="16.5" customHeight="1">
      <c r="A2460" s="3"/>
      <c r="B2460" s="3"/>
      <c r="C2460" s="3"/>
      <c r="D2460" s="3"/>
      <c r="E2460" s="3"/>
      <c r="F2460" s="3"/>
      <c r="G2460" s="3"/>
      <c r="H2460" s="3"/>
      <c r="I2460" s="3"/>
      <c r="J2460" s="3"/>
      <c r="K2460" s="3"/>
      <c r="L2460" s="3"/>
      <c r="M2460" s="3"/>
      <c r="N2460" s="3"/>
    </row>
    <row r="2461" spans="1:14" ht="16.5" customHeight="1">
      <c r="A2461" s="3"/>
      <c r="B2461" s="3"/>
      <c r="C2461" s="3"/>
      <c r="D2461" s="3"/>
      <c r="E2461" s="3"/>
      <c r="F2461" s="3"/>
      <c r="G2461" s="3"/>
      <c r="H2461" s="3"/>
      <c r="I2461" s="3"/>
      <c r="J2461" s="3"/>
      <c r="K2461" s="3"/>
      <c r="L2461" s="3"/>
      <c r="M2461" s="3"/>
      <c r="N2461" s="3"/>
    </row>
    <row r="2462" spans="1:14" ht="16.5" customHeight="1">
      <c r="A2462" s="3"/>
      <c r="B2462" s="3"/>
      <c r="C2462" s="3"/>
      <c r="D2462" s="3"/>
      <c r="E2462" s="3"/>
      <c r="F2462" s="3"/>
      <c r="G2462" s="3"/>
      <c r="H2462" s="3"/>
      <c r="I2462" s="3"/>
      <c r="J2462" s="3"/>
      <c r="K2462" s="3"/>
      <c r="L2462" s="3"/>
      <c r="M2462" s="3"/>
      <c r="N2462" s="3"/>
    </row>
    <row r="2463" spans="1:14" ht="16.5" customHeight="1">
      <c r="A2463" s="3"/>
      <c r="B2463" s="3"/>
      <c r="C2463" s="3"/>
      <c r="D2463" s="3"/>
      <c r="E2463" s="3"/>
      <c r="F2463" s="3"/>
      <c r="G2463" s="3"/>
      <c r="H2463" s="3"/>
      <c r="I2463" s="3"/>
      <c r="J2463" s="3"/>
      <c r="K2463" s="3"/>
      <c r="L2463" s="3"/>
      <c r="M2463" s="3"/>
      <c r="N2463" s="3"/>
    </row>
    <row r="2464" spans="1:14" ht="16.5" customHeight="1">
      <c r="A2464" s="3"/>
      <c r="B2464" s="3"/>
      <c r="C2464" s="3"/>
      <c r="D2464" s="3"/>
      <c r="E2464" s="3"/>
      <c r="F2464" s="3"/>
      <c r="G2464" s="3"/>
      <c r="H2464" s="3"/>
      <c r="I2464" s="3"/>
      <c r="J2464" s="3"/>
      <c r="K2464" s="3"/>
      <c r="L2464" s="3"/>
      <c r="M2464" s="3"/>
      <c r="N2464" s="3"/>
    </row>
    <row r="2465" spans="1:14" ht="16.5" customHeight="1">
      <c r="A2465" s="3"/>
      <c r="B2465" s="3"/>
      <c r="C2465" s="3"/>
      <c r="D2465" s="3"/>
      <c r="E2465" s="3"/>
      <c r="F2465" s="3"/>
      <c r="G2465" s="3"/>
      <c r="H2465" s="3"/>
      <c r="I2465" s="3"/>
      <c r="J2465" s="3"/>
      <c r="K2465" s="3"/>
      <c r="L2465" s="3"/>
      <c r="M2465" s="3"/>
      <c r="N2465" s="3"/>
    </row>
    <row r="2466" spans="1:14" ht="16.5" customHeight="1">
      <c r="A2466" s="3"/>
      <c r="B2466" s="3"/>
      <c r="C2466" s="3"/>
      <c r="D2466" s="3"/>
      <c r="E2466" s="3"/>
      <c r="F2466" s="3"/>
      <c r="G2466" s="3"/>
      <c r="H2466" s="3"/>
      <c r="I2466" s="3"/>
      <c r="J2466" s="3"/>
      <c r="K2466" s="3"/>
      <c r="L2466" s="3"/>
      <c r="M2466" s="3"/>
      <c r="N2466" s="3"/>
    </row>
    <row r="2467" spans="1:14" ht="16.5" customHeight="1">
      <c r="A2467" s="3"/>
      <c r="B2467" s="3"/>
      <c r="C2467" s="3"/>
      <c r="D2467" s="3"/>
      <c r="E2467" s="3"/>
      <c r="F2467" s="3"/>
      <c r="G2467" s="3"/>
      <c r="H2467" s="3"/>
      <c r="I2467" s="3"/>
      <c r="J2467" s="3"/>
      <c r="K2467" s="3"/>
      <c r="L2467" s="3"/>
      <c r="M2467" s="3"/>
      <c r="N2467" s="3"/>
    </row>
    <row r="2468" spans="1:14" ht="16.5" customHeight="1">
      <c r="A2468" s="3"/>
      <c r="B2468" s="3"/>
      <c r="C2468" s="3"/>
      <c r="D2468" s="3"/>
      <c r="E2468" s="3"/>
      <c r="F2468" s="3"/>
      <c r="G2468" s="3"/>
      <c r="H2468" s="3"/>
      <c r="I2468" s="3"/>
      <c r="J2468" s="3"/>
      <c r="K2468" s="3"/>
      <c r="L2468" s="3"/>
      <c r="M2468" s="3"/>
      <c r="N2468" s="3"/>
    </row>
    <row r="2469" spans="1:14" ht="16.5" customHeight="1">
      <c r="A2469" s="3"/>
      <c r="B2469" s="3"/>
      <c r="C2469" s="3"/>
      <c r="D2469" s="3"/>
      <c r="E2469" s="3"/>
      <c r="F2469" s="3"/>
      <c r="G2469" s="3"/>
      <c r="H2469" s="3"/>
      <c r="I2469" s="3"/>
      <c r="J2469" s="3"/>
      <c r="K2469" s="3"/>
      <c r="L2469" s="3"/>
      <c r="M2469" s="3"/>
      <c r="N2469" s="3"/>
    </row>
    <row r="2470" spans="1:14" ht="16.5" customHeight="1">
      <c r="A2470" s="3"/>
      <c r="B2470" s="3"/>
      <c r="C2470" s="3"/>
      <c r="D2470" s="3"/>
      <c r="E2470" s="3"/>
      <c r="F2470" s="3"/>
      <c r="G2470" s="3"/>
      <c r="H2470" s="3"/>
      <c r="I2470" s="3"/>
      <c r="J2470" s="3"/>
      <c r="K2470" s="3"/>
      <c r="L2470" s="3"/>
      <c r="M2470" s="3"/>
      <c r="N2470" s="3"/>
    </row>
    <row r="2471" spans="1:14" ht="16.5" customHeight="1">
      <c r="A2471" s="3"/>
      <c r="B2471" s="3"/>
      <c r="C2471" s="3"/>
      <c r="D2471" s="3"/>
      <c r="E2471" s="3"/>
      <c r="F2471" s="3"/>
      <c r="G2471" s="3"/>
      <c r="H2471" s="3"/>
      <c r="I2471" s="3"/>
      <c r="J2471" s="3"/>
      <c r="K2471" s="3"/>
      <c r="L2471" s="3"/>
      <c r="M2471" s="3"/>
      <c r="N2471" s="3"/>
    </row>
    <row r="2472" spans="1:14" ht="16.5" customHeight="1">
      <c r="A2472" s="3"/>
      <c r="B2472" s="3"/>
      <c r="C2472" s="3"/>
      <c r="D2472" s="3"/>
      <c r="E2472" s="3"/>
      <c r="F2472" s="3"/>
      <c r="G2472" s="3"/>
      <c r="H2472" s="3"/>
      <c r="I2472" s="3"/>
      <c r="J2472" s="3"/>
      <c r="K2472" s="3"/>
      <c r="L2472" s="3"/>
      <c r="M2472" s="3"/>
      <c r="N2472" s="3"/>
    </row>
    <row r="2473" spans="1:14" ht="16.5" customHeight="1">
      <c r="A2473" s="3"/>
      <c r="B2473" s="3"/>
      <c r="C2473" s="3"/>
      <c r="D2473" s="3"/>
      <c r="E2473" s="3"/>
      <c r="F2473" s="3"/>
      <c r="G2473" s="3"/>
      <c r="H2473" s="3"/>
      <c r="I2473" s="3"/>
      <c r="J2473" s="3"/>
      <c r="K2473" s="3"/>
      <c r="L2473" s="3"/>
      <c r="M2473" s="3"/>
      <c r="N2473" s="3"/>
    </row>
    <row r="2474" spans="1:14" ht="16.5" customHeight="1">
      <c r="A2474" s="3"/>
      <c r="B2474" s="3"/>
      <c r="C2474" s="3"/>
      <c r="D2474" s="3"/>
      <c r="E2474" s="3"/>
      <c r="F2474" s="3"/>
      <c r="G2474" s="3"/>
      <c r="H2474" s="3"/>
      <c r="I2474" s="3"/>
      <c r="J2474" s="3"/>
      <c r="K2474" s="3"/>
      <c r="L2474" s="3"/>
      <c r="M2474" s="3"/>
      <c r="N2474" s="3"/>
    </row>
    <row r="2475" spans="1:14" ht="16.5" customHeight="1">
      <c r="A2475" s="3"/>
      <c r="B2475" s="3"/>
      <c r="C2475" s="3"/>
      <c r="D2475" s="3"/>
      <c r="E2475" s="3"/>
      <c r="F2475" s="3"/>
      <c r="G2475" s="3"/>
      <c r="H2475" s="3"/>
      <c r="I2475" s="3"/>
      <c r="J2475" s="3"/>
      <c r="K2475" s="3"/>
      <c r="L2475" s="3"/>
      <c r="M2475" s="3"/>
      <c r="N2475" s="3"/>
    </row>
    <row r="2476" spans="1:14" ht="16.5" customHeight="1">
      <c r="A2476" s="3"/>
      <c r="B2476" s="3"/>
      <c r="C2476" s="3"/>
      <c r="D2476" s="3"/>
      <c r="E2476" s="3"/>
      <c r="F2476" s="3"/>
      <c r="G2476" s="3"/>
      <c r="H2476" s="3"/>
      <c r="I2476" s="3"/>
      <c r="J2476" s="3"/>
      <c r="K2476" s="3"/>
      <c r="L2476" s="3"/>
      <c r="M2476" s="3"/>
      <c r="N2476" s="3"/>
    </row>
    <row r="2477" spans="1:14" ht="16.5" customHeight="1">
      <c r="A2477" s="3"/>
      <c r="B2477" s="3"/>
      <c r="C2477" s="3"/>
      <c r="D2477" s="3"/>
      <c r="E2477" s="3"/>
      <c r="F2477" s="3"/>
      <c r="G2477" s="3"/>
      <c r="H2477" s="3"/>
      <c r="I2477" s="3"/>
      <c r="J2477" s="3"/>
      <c r="K2477" s="3"/>
      <c r="L2477" s="3"/>
      <c r="M2477" s="3"/>
      <c r="N2477" s="3"/>
    </row>
    <row r="2478" spans="1:14" ht="16.5" customHeight="1">
      <c r="A2478" s="3"/>
      <c r="B2478" s="3"/>
      <c r="C2478" s="3"/>
      <c r="D2478" s="3"/>
      <c r="E2478" s="3"/>
      <c r="F2478" s="3"/>
      <c r="G2478" s="3"/>
      <c r="H2478" s="3"/>
      <c r="I2478" s="3"/>
      <c r="J2478" s="3"/>
      <c r="K2478" s="3"/>
      <c r="L2478" s="3"/>
      <c r="M2478" s="3"/>
      <c r="N2478" s="3"/>
    </row>
    <row r="2479" spans="1:14" ht="16.5" customHeight="1">
      <c r="A2479" s="3"/>
      <c r="B2479" s="3"/>
      <c r="C2479" s="3"/>
      <c r="D2479" s="3"/>
      <c r="E2479" s="3"/>
      <c r="F2479" s="3"/>
      <c r="G2479" s="3"/>
      <c r="H2479" s="3"/>
      <c r="I2479" s="3"/>
      <c r="J2479" s="3"/>
      <c r="K2479" s="3"/>
      <c r="L2479" s="3"/>
      <c r="M2479" s="3"/>
      <c r="N2479" s="3"/>
    </row>
    <row r="2480" spans="1:14" ht="16.5" customHeight="1">
      <c r="A2480" s="3"/>
      <c r="B2480" s="3"/>
      <c r="C2480" s="3"/>
      <c r="D2480" s="3"/>
      <c r="E2480" s="3"/>
      <c r="F2480" s="3"/>
      <c r="G2480" s="3"/>
      <c r="H2480" s="3"/>
      <c r="I2480" s="3"/>
      <c r="J2480" s="3"/>
      <c r="K2480" s="3"/>
      <c r="L2480" s="3"/>
      <c r="M2480" s="3"/>
      <c r="N2480" s="3"/>
    </row>
    <row r="2481" spans="1:14" ht="16.5" customHeight="1">
      <c r="A2481" s="3"/>
      <c r="B2481" s="3"/>
      <c r="C2481" s="3"/>
      <c r="D2481" s="3"/>
      <c r="E2481" s="3"/>
      <c r="F2481" s="3"/>
      <c r="G2481" s="3"/>
      <c r="H2481" s="3"/>
      <c r="I2481" s="3"/>
      <c r="J2481" s="3"/>
      <c r="K2481" s="3"/>
      <c r="L2481" s="3"/>
      <c r="M2481" s="3"/>
      <c r="N2481" s="3"/>
    </row>
    <row r="2482" spans="1:14" ht="16.5" customHeight="1">
      <c r="A2482" s="3"/>
      <c r="B2482" s="3"/>
      <c r="C2482" s="3"/>
      <c r="D2482" s="3"/>
      <c r="E2482" s="3"/>
      <c r="F2482" s="3"/>
      <c r="G2482" s="3"/>
      <c r="H2482" s="3"/>
      <c r="I2482" s="3"/>
      <c r="J2482" s="3"/>
      <c r="K2482" s="3"/>
      <c r="L2482" s="3"/>
      <c r="M2482" s="3"/>
      <c r="N2482" s="3"/>
    </row>
    <row r="2483" spans="1:14" ht="16.5" customHeight="1">
      <c r="A2483" s="3"/>
      <c r="B2483" s="3"/>
      <c r="C2483" s="3"/>
      <c r="D2483" s="3"/>
      <c r="E2483" s="3"/>
      <c r="F2483" s="3"/>
      <c r="G2483" s="3"/>
      <c r="H2483" s="3"/>
      <c r="I2483" s="3"/>
      <c r="J2483" s="3"/>
      <c r="K2483" s="3"/>
      <c r="L2483" s="3"/>
      <c r="M2483" s="3"/>
      <c r="N2483" s="3"/>
    </row>
    <row r="2484" spans="1:14" ht="16.5" customHeight="1">
      <c r="A2484" s="3"/>
      <c r="B2484" s="3"/>
      <c r="C2484" s="3"/>
      <c r="D2484" s="3"/>
      <c r="E2484" s="3"/>
      <c r="F2484" s="3"/>
      <c r="G2484" s="3"/>
      <c r="H2484" s="3"/>
      <c r="I2484" s="3"/>
      <c r="J2484" s="3"/>
      <c r="K2484" s="3"/>
      <c r="L2484" s="3"/>
      <c r="M2484" s="3"/>
      <c r="N2484" s="3"/>
    </row>
    <row r="2485" spans="1:14" ht="16.5" customHeight="1">
      <c r="A2485" s="3"/>
      <c r="B2485" s="3"/>
      <c r="C2485" s="3"/>
      <c r="D2485" s="3"/>
      <c r="E2485" s="3"/>
      <c r="F2485" s="3"/>
      <c r="G2485" s="3"/>
      <c r="H2485" s="3"/>
      <c r="I2485" s="3"/>
      <c r="J2485" s="3"/>
      <c r="K2485" s="3"/>
      <c r="L2485" s="3"/>
      <c r="M2485" s="3"/>
      <c r="N2485" s="3"/>
    </row>
    <row r="2486" spans="1:14" ht="16.5" customHeight="1">
      <c r="A2486" s="3"/>
      <c r="B2486" s="3"/>
      <c r="C2486" s="3"/>
      <c r="D2486" s="3"/>
      <c r="E2486" s="3"/>
      <c r="F2486" s="3"/>
      <c r="G2486" s="3"/>
      <c r="H2486" s="3"/>
      <c r="I2486" s="3"/>
      <c r="J2486" s="3"/>
      <c r="K2486" s="3"/>
      <c r="L2486" s="3"/>
      <c r="M2486" s="3"/>
      <c r="N2486" s="3"/>
    </row>
    <row r="2487" spans="1:14" ht="16.5" customHeight="1">
      <c r="A2487" s="3"/>
      <c r="B2487" s="3"/>
      <c r="C2487" s="3"/>
      <c r="D2487" s="3"/>
      <c r="E2487" s="3"/>
      <c r="F2487" s="3"/>
      <c r="G2487" s="3"/>
      <c r="H2487" s="3"/>
      <c r="I2487" s="3"/>
      <c r="J2487" s="3"/>
      <c r="K2487" s="3"/>
      <c r="L2487" s="3"/>
      <c r="M2487" s="3"/>
      <c r="N2487" s="3"/>
    </row>
    <row r="2488" spans="1:14" ht="16.5" customHeight="1">
      <c r="A2488" s="3"/>
      <c r="B2488" s="3"/>
      <c r="C2488" s="3"/>
      <c r="D2488" s="3"/>
      <c r="E2488" s="3"/>
      <c r="F2488" s="3"/>
      <c r="G2488" s="3"/>
      <c r="H2488" s="3"/>
      <c r="I2488" s="3"/>
      <c r="J2488" s="3"/>
      <c r="K2488" s="3"/>
      <c r="L2488" s="3"/>
      <c r="M2488" s="3"/>
      <c r="N2488" s="3"/>
    </row>
    <row r="2489" spans="1:14" ht="16.5" customHeight="1">
      <c r="A2489" s="3"/>
      <c r="B2489" s="3"/>
      <c r="C2489" s="3"/>
      <c r="D2489" s="3"/>
      <c r="E2489" s="3"/>
      <c r="F2489" s="3"/>
      <c r="G2489" s="3"/>
      <c r="H2489" s="3"/>
      <c r="I2489" s="3"/>
      <c r="J2489" s="3"/>
      <c r="K2489" s="3"/>
      <c r="L2489" s="3"/>
      <c r="M2489" s="3"/>
      <c r="N2489" s="3"/>
    </row>
    <row r="2490" spans="1:14" ht="16.5" customHeight="1">
      <c r="A2490" s="3"/>
      <c r="B2490" s="3"/>
      <c r="C2490" s="3"/>
      <c r="D2490" s="3"/>
      <c r="E2490" s="3"/>
      <c r="F2490" s="3"/>
      <c r="G2490" s="3"/>
      <c r="H2490" s="3"/>
      <c r="I2490" s="3"/>
      <c r="J2490" s="3"/>
      <c r="K2490" s="3"/>
      <c r="L2490" s="3"/>
      <c r="M2490" s="3"/>
      <c r="N2490" s="3"/>
    </row>
    <row r="2491" spans="1:14" ht="16.5" customHeight="1">
      <c r="A2491" s="3"/>
      <c r="B2491" s="3"/>
      <c r="C2491" s="3"/>
      <c r="D2491" s="3"/>
      <c r="E2491" s="3"/>
      <c r="F2491" s="3"/>
      <c r="G2491" s="3"/>
      <c r="H2491" s="3"/>
      <c r="I2491" s="3"/>
      <c r="J2491" s="3"/>
      <c r="K2491" s="3"/>
      <c r="L2491" s="3"/>
      <c r="M2491" s="3"/>
      <c r="N2491" s="3"/>
    </row>
    <row r="2492" spans="1:14" ht="16.5" customHeight="1">
      <c r="A2492" s="3"/>
      <c r="B2492" s="3"/>
      <c r="C2492" s="3"/>
      <c r="D2492" s="3"/>
      <c r="E2492" s="3"/>
      <c r="F2492" s="3"/>
      <c r="G2492" s="3"/>
      <c r="H2492" s="3"/>
      <c r="I2492" s="3"/>
      <c r="J2492" s="3"/>
      <c r="K2492" s="3"/>
      <c r="L2492" s="3"/>
      <c r="M2492" s="3"/>
      <c r="N2492" s="3"/>
    </row>
    <row r="2493" spans="1:14" ht="16.5" customHeight="1">
      <c r="A2493" s="3"/>
      <c r="B2493" s="3"/>
      <c r="C2493" s="3"/>
      <c r="D2493" s="3"/>
      <c r="E2493" s="3"/>
      <c r="F2493" s="3"/>
      <c r="G2493" s="3"/>
      <c r="H2493" s="3"/>
      <c r="I2493" s="3"/>
      <c r="J2493" s="3"/>
      <c r="K2493" s="3"/>
      <c r="L2493" s="3"/>
      <c r="M2493" s="3"/>
      <c r="N2493" s="3"/>
    </row>
    <row r="2494" spans="1:14" ht="16.5" customHeight="1">
      <c r="A2494" s="3"/>
      <c r="B2494" s="3"/>
      <c r="C2494" s="3"/>
      <c r="D2494" s="3"/>
      <c r="E2494" s="3"/>
      <c r="F2494" s="3"/>
      <c r="G2494" s="3"/>
      <c r="H2494" s="3"/>
      <c r="I2494" s="3"/>
      <c r="J2494" s="3"/>
      <c r="K2494" s="3"/>
      <c r="L2494" s="3"/>
      <c r="M2494" s="3"/>
      <c r="N2494" s="3"/>
    </row>
    <row r="2495" spans="1:14" ht="16.5" customHeight="1">
      <c r="A2495" s="3"/>
      <c r="B2495" s="3"/>
      <c r="C2495" s="3"/>
      <c r="D2495" s="3"/>
      <c r="E2495" s="3"/>
      <c r="F2495" s="3"/>
      <c r="G2495" s="3"/>
      <c r="H2495" s="3"/>
      <c r="I2495" s="3"/>
      <c r="J2495" s="3"/>
      <c r="K2495" s="3"/>
      <c r="L2495" s="3"/>
      <c r="M2495" s="3"/>
      <c r="N2495" s="3"/>
    </row>
    <row r="2496" spans="1:14" ht="16.5" customHeight="1">
      <c r="A2496" s="3"/>
      <c r="B2496" s="3"/>
      <c r="C2496" s="3"/>
      <c r="D2496" s="3"/>
      <c r="E2496" s="3"/>
      <c r="F2496" s="3"/>
      <c r="G2496" s="3"/>
      <c r="H2496" s="3"/>
      <c r="I2496" s="3"/>
      <c r="J2496" s="3"/>
      <c r="K2496" s="3"/>
      <c r="L2496" s="3"/>
      <c r="M2496" s="3"/>
      <c r="N2496" s="3"/>
    </row>
    <row r="2497" spans="1:14" ht="16.5" customHeight="1">
      <c r="A2497" s="3"/>
      <c r="B2497" s="3"/>
      <c r="C2497" s="3"/>
      <c r="D2497" s="3"/>
      <c r="E2497" s="3"/>
      <c r="F2497" s="3"/>
      <c r="G2497" s="3"/>
      <c r="H2497" s="3"/>
      <c r="I2497" s="3"/>
      <c r="J2497" s="3"/>
      <c r="K2497" s="3"/>
      <c r="L2497" s="3"/>
      <c r="M2497" s="3"/>
      <c r="N2497" s="3"/>
    </row>
    <row r="2498" spans="1:14" ht="16.5" customHeight="1">
      <c r="A2498" s="3"/>
      <c r="B2498" s="3"/>
      <c r="C2498" s="3"/>
      <c r="D2498" s="3"/>
      <c r="E2498" s="3"/>
      <c r="F2498" s="3"/>
      <c r="G2498" s="3"/>
      <c r="H2498" s="3"/>
      <c r="I2498" s="3"/>
      <c r="J2498" s="3"/>
      <c r="K2498" s="3"/>
      <c r="L2498" s="3"/>
      <c r="M2498" s="3"/>
      <c r="N2498" s="3"/>
    </row>
    <row r="2499" spans="1:14" ht="16.5" customHeight="1">
      <c r="A2499" s="3"/>
      <c r="B2499" s="3"/>
      <c r="C2499" s="3"/>
      <c r="D2499" s="3"/>
      <c r="E2499" s="3"/>
      <c r="F2499" s="3"/>
      <c r="G2499" s="3"/>
      <c r="H2499" s="3"/>
      <c r="I2499" s="3"/>
      <c r="J2499" s="3"/>
      <c r="K2499" s="3"/>
      <c r="L2499" s="3"/>
      <c r="M2499" s="3"/>
      <c r="N2499" s="3"/>
    </row>
    <row r="2500" spans="1:14" ht="16.5" customHeight="1">
      <c r="A2500" s="3"/>
      <c r="B2500" s="3"/>
      <c r="C2500" s="3"/>
      <c r="D2500" s="3"/>
      <c r="E2500" s="3"/>
      <c r="F2500" s="3"/>
      <c r="G2500" s="3"/>
      <c r="H2500" s="3"/>
      <c r="I2500" s="3"/>
      <c r="J2500" s="3"/>
      <c r="K2500" s="3"/>
      <c r="L2500" s="3"/>
      <c r="M2500" s="3"/>
      <c r="N2500" s="3"/>
    </row>
    <row r="2501" spans="1:14" ht="16.5" customHeight="1">
      <c r="A2501" s="3"/>
      <c r="B2501" s="3"/>
      <c r="C2501" s="3"/>
      <c r="D2501" s="3"/>
      <c r="E2501" s="3"/>
      <c r="F2501" s="3"/>
      <c r="G2501" s="3"/>
      <c r="H2501" s="3"/>
      <c r="I2501" s="3"/>
      <c r="J2501" s="3"/>
      <c r="K2501" s="3"/>
      <c r="L2501" s="3"/>
      <c r="M2501" s="3"/>
      <c r="N2501" s="3"/>
    </row>
    <row r="2502" spans="1:14" ht="16.5" customHeight="1">
      <c r="A2502" s="3"/>
      <c r="B2502" s="3"/>
      <c r="C2502" s="3"/>
      <c r="D2502" s="3"/>
      <c r="E2502" s="3"/>
      <c r="F2502" s="3"/>
      <c r="G2502" s="3"/>
      <c r="H2502" s="3"/>
      <c r="I2502" s="3"/>
      <c r="J2502" s="3"/>
      <c r="K2502" s="3"/>
      <c r="L2502" s="3"/>
      <c r="M2502" s="3"/>
      <c r="N2502" s="3"/>
    </row>
    <row r="2503" spans="1:14" ht="16.5" customHeight="1">
      <c r="A2503" s="3"/>
      <c r="B2503" s="3"/>
      <c r="C2503" s="3"/>
      <c r="D2503" s="3"/>
      <c r="E2503" s="3"/>
      <c r="F2503" s="3"/>
      <c r="G2503" s="3"/>
      <c r="H2503" s="3"/>
      <c r="I2503" s="3"/>
      <c r="J2503" s="3"/>
      <c r="K2503" s="3"/>
      <c r="L2503" s="3"/>
      <c r="M2503" s="3"/>
      <c r="N2503" s="3"/>
    </row>
    <row r="2504" spans="1:14" ht="16.5" customHeight="1">
      <c r="A2504" s="3"/>
      <c r="B2504" s="3"/>
      <c r="C2504" s="3"/>
      <c r="D2504" s="3"/>
      <c r="E2504" s="3"/>
      <c r="F2504" s="3"/>
      <c r="G2504" s="3"/>
      <c r="H2504" s="3"/>
      <c r="I2504" s="3"/>
      <c r="J2504" s="3"/>
      <c r="K2504" s="3"/>
      <c r="L2504" s="3"/>
      <c r="M2504" s="3"/>
      <c r="N2504" s="3"/>
    </row>
    <row r="2505" spans="1:14" ht="16.5" customHeight="1">
      <c r="A2505" s="3"/>
      <c r="B2505" s="3"/>
      <c r="C2505" s="3"/>
      <c r="D2505" s="3"/>
      <c r="E2505" s="3"/>
      <c r="F2505" s="3"/>
      <c r="G2505" s="3"/>
      <c r="H2505" s="3"/>
      <c r="I2505" s="3"/>
      <c r="J2505" s="3"/>
      <c r="K2505" s="3"/>
      <c r="L2505" s="3"/>
      <c r="M2505" s="3"/>
      <c r="N2505" s="3"/>
    </row>
    <row r="2506" spans="1:14" ht="16.5" customHeight="1">
      <c r="A2506" s="3"/>
      <c r="B2506" s="3"/>
      <c r="C2506" s="3"/>
      <c r="D2506" s="3"/>
      <c r="E2506" s="3"/>
      <c r="F2506" s="3"/>
      <c r="G2506" s="3"/>
      <c r="H2506" s="3"/>
      <c r="I2506" s="3"/>
      <c r="J2506" s="3"/>
      <c r="K2506" s="3"/>
      <c r="L2506" s="3"/>
      <c r="M2506" s="3"/>
      <c r="N2506" s="3"/>
    </row>
    <row r="2507" spans="1:14" ht="16.5" customHeight="1">
      <c r="A2507" s="3"/>
      <c r="B2507" s="3"/>
      <c r="C2507" s="3"/>
      <c r="D2507" s="3"/>
      <c r="E2507" s="3"/>
      <c r="F2507" s="3"/>
      <c r="G2507" s="3"/>
      <c r="H2507" s="3"/>
      <c r="I2507" s="3"/>
      <c r="J2507" s="3"/>
      <c r="K2507" s="3"/>
      <c r="L2507" s="3"/>
      <c r="M2507" s="3"/>
      <c r="N2507" s="3"/>
    </row>
    <row r="2508" spans="1:14" ht="16.5" customHeight="1">
      <c r="A2508" s="3"/>
      <c r="B2508" s="3"/>
      <c r="C2508" s="3"/>
      <c r="D2508" s="3"/>
      <c r="E2508" s="3"/>
      <c r="F2508" s="3"/>
      <c r="G2508" s="3"/>
      <c r="H2508" s="3"/>
      <c r="I2508" s="3"/>
      <c r="J2508" s="3"/>
      <c r="K2508" s="3"/>
      <c r="L2508" s="3"/>
      <c r="M2508" s="3"/>
      <c r="N2508" s="3"/>
    </row>
    <row r="2509" spans="1:14" ht="16.5" customHeight="1">
      <c r="A2509" s="3"/>
      <c r="B2509" s="3"/>
      <c r="C2509" s="3"/>
      <c r="D2509" s="3"/>
      <c r="E2509" s="3"/>
      <c r="F2509" s="3"/>
      <c r="G2509" s="3"/>
      <c r="H2509" s="3"/>
      <c r="I2509" s="3"/>
      <c r="J2509" s="3"/>
      <c r="K2509" s="3"/>
      <c r="L2509" s="3"/>
      <c r="M2509" s="3"/>
      <c r="N2509" s="3"/>
    </row>
    <row r="2510" spans="1:14" ht="16.5" customHeight="1">
      <c r="A2510" s="3"/>
      <c r="B2510" s="3"/>
      <c r="C2510" s="3"/>
      <c r="D2510" s="3"/>
      <c r="E2510" s="3"/>
      <c r="F2510" s="3"/>
      <c r="G2510" s="3"/>
      <c r="H2510" s="3"/>
      <c r="I2510" s="3"/>
      <c r="J2510" s="3"/>
      <c r="K2510" s="3"/>
      <c r="L2510" s="3"/>
      <c r="M2510" s="3"/>
      <c r="N2510" s="3"/>
    </row>
    <row r="2511" spans="1:14" ht="16.5" customHeight="1">
      <c r="A2511" s="3"/>
      <c r="B2511" s="3"/>
      <c r="C2511" s="3"/>
      <c r="D2511" s="3"/>
      <c r="E2511" s="3"/>
      <c r="F2511" s="3"/>
      <c r="G2511" s="3"/>
      <c r="H2511" s="3"/>
      <c r="I2511" s="3"/>
      <c r="J2511" s="3"/>
      <c r="K2511" s="3"/>
      <c r="L2511" s="3"/>
      <c r="M2511" s="3"/>
      <c r="N2511" s="3"/>
    </row>
    <row r="2512" spans="1:14" ht="16.5" customHeight="1">
      <c r="A2512" s="3"/>
      <c r="B2512" s="3"/>
      <c r="C2512" s="3"/>
      <c r="D2512" s="3"/>
      <c r="E2512" s="3"/>
      <c r="F2512" s="3"/>
      <c r="G2512" s="3"/>
      <c r="H2512" s="3"/>
      <c r="I2512" s="3"/>
      <c r="J2512" s="3"/>
      <c r="K2512" s="3"/>
      <c r="L2512" s="3"/>
      <c r="M2512" s="3"/>
      <c r="N2512" s="3"/>
    </row>
    <row r="2513" spans="1:14" ht="16.5" customHeight="1">
      <c r="A2513" s="3"/>
      <c r="B2513" s="3"/>
      <c r="C2513" s="3"/>
      <c r="D2513" s="3"/>
      <c r="E2513" s="3"/>
      <c r="F2513" s="3"/>
      <c r="G2513" s="3"/>
      <c r="H2513" s="3"/>
      <c r="I2513" s="3"/>
      <c r="J2513" s="3"/>
      <c r="K2513" s="3"/>
      <c r="L2513" s="3"/>
      <c r="M2513" s="3"/>
      <c r="N2513" s="3"/>
    </row>
    <row r="2514" spans="1:14" ht="16.5" customHeight="1">
      <c r="A2514" s="3"/>
      <c r="B2514" s="3"/>
      <c r="C2514" s="3"/>
      <c r="D2514" s="3"/>
      <c r="E2514" s="3"/>
      <c r="F2514" s="3"/>
      <c r="G2514" s="3"/>
      <c r="H2514" s="3"/>
      <c r="I2514" s="3"/>
      <c r="J2514" s="3"/>
      <c r="K2514" s="3"/>
      <c r="L2514" s="3"/>
      <c r="M2514" s="3"/>
      <c r="N2514" s="3"/>
    </row>
    <row r="2515" spans="1:14" ht="16.5" customHeight="1">
      <c r="A2515" s="3"/>
      <c r="B2515" s="3"/>
      <c r="C2515" s="3"/>
      <c r="D2515" s="3"/>
      <c r="E2515" s="3"/>
      <c r="F2515" s="3"/>
      <c r="G2515" s="3"/>
      <c r="H2515" s="3"/>
      <c r="I2515" s="3"/>
      <c r="J2515" s="3"/>
      <c r="K2515" s="3"/>
      <c r="L2515" s="3"/>
      <c r="M2515" s="3"/>
      <c r="N2515" s="3"/>
    </row>
    <row r="2516" spans="1:14" ht="16.5" customHeight="1">
      <c r="A2516" s="3"/>
      <c r="B2516" s="3"/>
      <c r="C2516" s="3"/>
      <c r="D2516" s="3"/>
      <c r="E2516" s="3"/>
      <c r="F2516" s="3"/>
      <c r="G2516" s="3"/>
      <c r="H2516" s="3"/>
      <c r="I2516" s="3"/>
      <c r="J2516" s="3"/>
      <c r="K2516" s="3"/>
      <c r="L2516" s="3"/>
      <c r="M2516" s="3"/>
      <c r="N2516" s="3"/>
    </row>
    <row r="2517" spans="1:14" ht="16.5" customHeight="1">
      <c r="A2517" s="3"/>
      <c r="B2517" s="3"/>
      <c r="C2517" s="3"/>
      <c r="D2517" s="3"/>
      <c r="E2517" s="3"/>
      <c r="F2517" s="3"/>
      <c r="G2517" s="3"/>
      <c r="H2517" s="3"/>
      <c r="I2517" s="3"/>
      <c r="J2517" s="3"/>
      <c r="K2517" s="3"/>
      <c r="L2517" s="3"/>
      <c r="M2517" s="3"/>
      <c r="N2517" s="3"/>
    </row>
    <row r="2518" spans="1:14" ht="16.5" customHeight="1">
      <c r="A2518" s="3"/>
      <c r="B2518" s="3"/>
      <c r="C2518" s="3"/>
      <c r="D2518" s="3"/>
      <c r="E2518" s="3"/>
      <c r="F2518" s="3"/>
      <c r="G2518" s="3"/>
      <c r="H2518" s="3"/>
      <c r="I2518" s="3"/>
      <c r="J2518" s="3"/>
      <c r="K2518" s="3"/>
      <c r="L2518" s="3"/>
      <c r="M2518" s="3"/>
      <c r="N2518" s="3"/>
    </row>
    <row r="2519" spans="1:14" ht="16.5" customHeight="1">
      <c r="A2519" s="3"/>
      <c r="B2519" s="3"/>
      <c r="C2519" s="3"/>
      <c r="D2519" s="3"/>
      <c r="E2519" s="3"/>
      <c r="F2519" s="3"/>
      <c r="G2519" s="3"/>
      <c r="H2519" s="3"/>
      <c r="I2519" s="3"/>
      <c r="J2519" s="3"/>
      <c r="K2519" s="3"/>
      <c r="L2519" s="3"/>
      <c r="M2519" s="3"/>
      <c r="N2519" s="3"/>
    </row>
    <row r="2520" spans="1:14" ht="16.5" customHeight="1">
      <c r="A2520" s="3"/>
      <c r="B2520" s="3"/>
      <c r="C2520" s="3"/>
      <c r="D2520" s="3"/>
      <c r="E2520" s="3"/>
      <c r="F2520" s="3"/>
      <c r="G2520" s="3"/>
      <c r="H2520" s="3"/>
      <c r="I2520" s="3"/>
      <c r="J2520" s="3"/>
      <c r="K2520" s="3"/>
      <c r="L2520" s="3"/>
      <c r="M2520" s="3"/>
      <c r="N2520" s="3"/>
    </row>
    <row r="2521" spans="1:14" ht="16.5" customHeight="1">
      <c r="A2521" s="3"/>
      <c r="B2521" s="3"/>
      <c r="C2521" s="3"/>
      <c r="D2521" s="3"/>
      <c r="E2521" s="3"/>
      <c r="F2521" s="3"/>
      <c r="G2521" s="3"/>
      <c r="H2521" s="3"/>
      <c r="I2521" s="3"/>
      <c r="J2521" s="3"/>
      <c r="K2521" s="3"/>
      <c r="L2521" s="3"/>
      <c r="M2521" s="3"/>
      <c r="N2521" s="3"/>
    </row>
    <row r="2522" spans="1:14" ht="16.5" customHeight="1">
      <c r="A2522" s="3"/>
      <c r="B2522" s="3"/>
      <c r="C2522" s="3"/>
      <c r="D2522" s="3"/>
      <c r="E2522" s="3"/>
      <c r="F2522" s="3"/>
      <c r="G2522" s="3"/>
      <c r="H2522" s="3"/>
      <c r="I2522" s="3"/>
      <c r="J2522" s="3"/>
      <c r="K2522" s="3"/>
      <c r="L2522" s="3"/>
      <c r="M2522" s="3"/>
      <c r="N2522" s="3"/>
    </row>
    <row r="2523" spans="1:14" ht="16.5" customHeight="1">
      <c r="A2523" s="3"/>
      <c r="B2523" s="3"/>
      <c r="C2523" s="3"/>
      <c r="D2523" s="3"/>
      <c r="E2523" s="3"/>
      <c r="F2523" s="3"/>
      <c r="G2523" s="3"/>
      <c r="H2523" s="3"/>
      <c r="I2523" s="3"/>
      <c r="J2523" s="3"/>
      <c r="K2523" s="3"/>
      <c r="L2523" s="3"/>
      <c r="M2523" s="3"/>
      <c r="N2523" s="3"/>
    </row>
    <row r="2524" spans="1:14" ht="16.5" customHeight="1">
      <c r="A2524" s="3"/>
      <c r="B2524" s="3"/>
      <c r="C2524" s="3"/>
      <c r="D2524" s="3"/>
      <c r="E2524" s="3"/>
      <c r="F2524" s="3"/>
      <c r="G2524" s="3"/>
      <c r="H2524" s="3"/>
      <c r="I2524" s="3"/>
      <c r="J2524" s="3"/>
      <c r="K2524" s="3"/>
      <c r="L2524" s="3"/>
      <c r="M2524" s="3"/>
      <c r="N2524" s="3"/>
    </row>
    <row r="2525" spans="1:14" ht="16.5" customHeight="1">
      <c r="A2525" s="3"/>
      <c r="B2525" s="3"/>
      <c r="C2525" s="3"/>
      <c r="D2525" s="3"/>
      <c r="E2525" s="3"/>
      <c r="F2525" s="3"/>
      <c r="G2525" s="3"/>
      <c r="H2525" s="3"/>
      <c r="I2525" s="3"/>
      <c r="J2525" s="3"/>
      <c r="K2525" s="3"/>
      <c r="L2525" s="3"/>
      <c r="M2525" s="3"/>
      <c r="N2525" s="3"/>
    </row>
    <row r="2526" spans="1:14" ht="16.5" customHeight="1">
      <c r="A2526" s="3"/>
      <c r="B2526" s="3"/>
      <c r="C2526" s="3"/>
      <c r="D2526" s="3"/>
      <c r="E2526" s="3"/>
      <c r="F2526" s="3"/>
      <c r="G2526" s="3"/>
      <c r="H2526" s="3"/>
      <c r="I2526" s="3"/>
      <c r="J2526" s="3"/>
      <c r="K2526" s="3"/>
      <c r="L2526" s="3"/>
      <c r="M2526" s="3"/>
      <c r="N2526" s="3"/>
    </row>
    <row r="2527" spans="1:14" ht="16.5" customHeight="1">
      <c r="A2527" s="3"/>
      <c r="B2527" s="3"/>
      <c r="C2527" s="3"/>
      <c r="D2527" s="3"/>
      <c r="E2527" s="3"/>
      <c r="F2527" s="3"/>
      <c r="G2527" s="3"/>
      <c r="H2527" s="3"/>
      <c r="I2527" s="3"/>
      <c r="J2527" s="3"/>
      <c r="K2527" s="3"/>
      <c r="L2527" s="3"/>
      <c r="M2527" s="3"/>
      <c r="N2527" s="3"/>
    </row>
    <row r="2528" spans="1:14" ht="16.5" customHeight="1">
      <c r="A2528" s="3"/>
      <c r="B2528" s="3"/>
      <c r="C2528" s="3"/>
      <c r="D2528" s="3"/>
      <c r="E2528" s="3"/>
      <c r="F2528" s="3"/>
      <c r="G2528" s="3"/>
      <c r="H2528" s="3"/>
      <c r="I2528" s="3"/>
      <c r="J2528" s="3"/>
      <c r="K2528" s="3"/>
      <c r="L2528" s="3"/>
      <c r="M2528" s="3"/>
      <c r="N2528" s="3"/>
    </row>
    <row r="2529" spans="1:14" ht="16.5" customHeight="1">
      <c r="A2529" s="3"/>
      <c r="B2529" s="3"/>
      <c r="C2529" s="3"/>
      <c r="D2529" s="3"/>
      <c r="E2529" s="3"/>
      <c r="F2529" s="3"/>
      <c r="G2529" s="3"/>
      <c r="H2529" s="3"/>
      <c r="I2529" s="3"/>
      <c r="J2529" s="3"/>
      <c r="K2529" s="3"/>
      <c r="L2529" s="3"/>
      <c r="M2529" s="3"/>
      <c r="N2529" s="3"/>
    </row>
    <row r="2530" spans="1:14" ht="16.5" customHeight="1">
      <c r="A2530" s="3"/>
      <c r="B2530" s="3"/>
      <c r="C2530" s="3"/>
      <c r="D2530" s="3"/>
      <c r="E2530" s="3"/>
      <c r="F2530" s="3"/>
      <c r="G2530" s="3"/>
      <c r="H2530" s="3"/>
      <c r="I2530" s="3"/>
      <c r="J2530" s="3"/>
      <c r="K2530" s="3"/>
      <c r="L2530" s="3"/>
      <c r="M2530" s="3"/>
      <c r="N2530" s="3"/>
    </row>
    <row r="2531" spans="1:14" ht="16.5" customHeight="1">
      <c r="A2531" s="3"/>
      <c r="B2531" s="3"/>
      <c r="C2531" s="3"/>
      <c r="D2531" s="3"/>
      <c r="E2531" s="3"/>
      <c r="F2531" s="3"/>
      <c r="G2531" s="3"/>
      <c r="H2531" s="3"/>
      <c r="I2531" s="3"/>
      <c r="J2531" s="3"/>
      <c r="K2531" s="3"/>
      <c r="L2531" s="3"/>
      <c r="M2531" s="3"/>
      <c r="N2531" s="3"/>
    </row>
    <row r="2532" spans="1:14" ht="16.5" customHeight="1">
      <c r="A2532" s="3"/>
      <c r="B2532" s="3"/>
      <c r="C2532" s="3"/>
      <c r="D2532" s="3"/>
      <c r="E2532" s="3"/>
      <c r="F2532" s="3"/>
      <c r="G2532" s="3"/>
      <c r="H2532" s="3"/>
      <c r="I2532" s="3"/>
      <c r="J2532" s="3"/>
      <c r="K2532" s="3"/>
      <c r="L2532" s="3"/>
      <c r="M2532" s="3"/>
      <c r="N2532" s="3"/>
    </row>
    <row r="2533" spans="1:14" ht="16.5" customHeight="1">
      <c r="A2533" s="3"/>
      <c r="B2533" s="3"/>
      <c r="C2533" s="3"/>
      <c r="D2533" s="3"/>
      <c r="E2533" s="3"/>
      <c r="F2533" s="3"/>
      <c r="G2533" s="3"/>
      <c r="H2533" s="3"/>
      <c r="I2533" s="3"/>
      <c r="J2533" s="3"/>
      <c r="K2533" s="3"/>
      <c r="L2533" s="3"/>
      <c r="M2533" s="3"/>
      <c r="N2533" s="3"/>
    </row>
    <row r="2534" spans="1:14" ht="16.5" customHeight="1">
      <c r="A2534" s="3"/>
      <c r="B2534" s="3"/>
      <c r="C2534" s="3"/>
      <c r="D2534" s="3"/>
      <c r="E2534" s="3"/>
      <c r="F2534" s="3"/>
      <c r="G2534" s="3"/>
      <c r="H2534" s="3"/>
      <c r="I2534" s="3"/>
      <c r="J2534" s="3"/>
      <c r="K2534" s="3"/>
      <c r="L2534" s="3"/>
      <c r="M2534" s="3"/>
      <c r="N2534" s="3"/>
    </row>
    <row r="2535" spans="1:14" ht="16.5" customHeight="1">
      <c r="A2535" s="3"/>
      <c r="B2535" s="3"/>
      <c r="C2535" s="3"/>
      <c r="D2535" s="3"/>
      <c r="E2535" s="3"/>
      <c r="F2535" s="3"/>
      <c r="G2535" s="3"/>
      <c r="H2535" s="3"/>
      <c r="I2535" s="3"/>
      <c r="J2535" s="3"/>
      <c r="K2535" s="3"/>
      <c r="L2535" s="3"/>
      <c r="M2535" s="3"/>
      <c r="N2535" s="3"/>
    </row>
    <row r="2536" spans="1:14" ht="16.5" customHeight="1">
      <c r="A2536" s="3"/>
      <c r="B2536" s="3"/>
      <c r="C2536" s="3"/>
      <c r="D2536" s="3"/>
      <c r="E2536" s="3"/>
      <c r="F2536" s="3"/>
      <c r="G2536" s="3"/>
      <c r="H2536" s="3"/>
      <c r="I2536" s="3"/>
      <c r="J2536" s="3"/>
      <c r="K2536" s="3"/>
      <c r="L2536" s="3"/>
      <c r="M2536" s="3"/>
      <c r="N2536" s="3"/>
    </row>
    <row r="2537" spans="1:14" ht="16.5" customHeight="1">
      <c r="A2537" s="3"/>
      <c r="B2537" s="3"/>
      <c r="C2537" s="3"/>
      <c r="D2537" s="3"/>
      <c r="E2537" s="3"/>
      <c r="F2537" s="3"/>
      <c r="G2537" s="3"/>
      <c r="H2537" s="3"/>
      <c r="I2537" s="3"/>
      <c r="J2537" s="3"/>
      <c r="K2537" s="3"/>
      <c r="L2537" s="3"/>
      <c r="M2537" s="3"/>
      <c r="N2537" s="3"/>
    </row>
    <row r="2538" spans="1:14" ht="16.5" customHeight="1">
      <c r="A2538" s="3"/>
      <c r="B2538" s="3"/>
      <c r="C2538" s="3"/>
      <c r="D2538" s="3"/>
      <c r="E2538" s="3"/>
      <c r="F2538" s="3"/>
      <c r="G2538" s="3"/>
      <c r="H2538" s="3"/>
      <c r="I2538" s="3"/>
      <c r="J2538" s="3"/>
      <c r="K2538" s="3"/>
      <c r="L2538" s="3"/>
      <c r="M2538" s="3"/>
      <c r="N2538" s="3"/>
    </row>
    <row r="2539" spans="1:14" ht="16.5" customHeight="1">
      <c r="A2539" s="3"/>
      <c r="B2539" s="3"/>
      <c r="C2539" s="3"/>
      <c r="D2539" s="3"/>
      <c r="E2539" s="3"/>
      <c r="F2539" s="3"/>
      <c r="G2539" s="3"/>
      <c r="H2539" s="3"/>
      <c r="I2539" s="3"/>
      <c r="J2539" s="3"/>
      <c r="K2539" s="3"/>
      <c r="L2539" s="3"/>
      <c r="M2539" s="3"/>
      <c r="N2539" s="3"/>
    </row>
    <row r="2540" spans="1:14" ht="16.5" customHeight="1">
      <c r="A2540" s="3"/>
      <c r="B2540" s="3"/>
      <c r="C2540" s="3"/>
      <c r="D2540" s="3"/>
      <c r="E2540" s="3"/>
      <c r="F2540" s="3"/>
      <c r="G2540" s="3"/>
      <c r="H2540" s="3"/>
      <c r="I2540" s="3"/>
      <c r="J2540" s="3"/>
      <c r="K2540" s="3"/>
      <c r="L2540" s="3"/>
      <c r="M2540" s="3"/>
      <c r="N2540" s="3"/>
    </row>
    <row r="2541" spans="1:14" ht="16.5" customHeight="1">
      <c r="A2541" s="3"/>
      <c r="B2541" s="3"/>
      <c r="C2541" s="3"/>
      <c r="D2541" s="3"/>
      <c r="E2541" s="3"/>
      <c r="F2541" s="3"/>
      <c r="G2541" s="3"/>
      <c r="H2541" s="3"/>
      <c r="I2541" s="3"/>
      <c r="J2541" s="3"/>
      <c r="K2541" s="3"/>
      <c r="L2541" s="3"/>
      <c r="M2541" s="3"/>
      <c r="N2541" s="3"/>
    </row>
    <row r="2542" spans="1:14" ht="16.5" customHeight="1">
      <c r="A2542" s="3"/>
      <c r="B2542" s="3"/>
      <c r="C2542" s="3"/>
      <c r="D2542" s="3"/>
      <c r="E2542" s="3"/>
      <c r="F2542" s="3"/>
      <c r="G2542" s="3"/>
      <c r="H2542" s="3"/>
      <c r="I2542" s="3"/>
      <c r="J2542" s="3"/>
      <c r="K2542" s="3"/>
      <c r="L2542" s="3"/>
      <c r="M2542" s="3"/>
      <c r="N2542" s="3"/>
    </row>
    <row r="2543" spans="1:14" ht="16.5" customHeight="1">
      <c r="A2543" s="3"/>
      <c r="B2543" s="3"/>
      <c r="C2543" s="3"/>
      <c r="D2543" s="3"/>
      <c r="E2543" s="3"/>
      <c r="F2543" s="3"/>
      <c r="G2543" s="3"/>
      <c r="H2543" s="3"/>
      <c r="I2543" s="3"/>
      <c r="J2543" s="3"/>
      <c r="K2543" s="3"/>
      <c r="L2543" s="3"/>
      <c r="M2543" s="3"/>
      <c r="N2543" s="3"/>
    </row>
    <row r="2544" spans="1:14" ht="16.5" customHeight="1">
      <c r="A2544" s="3"/>
      <c r="B2544" s="3"/>
      <c r="C2544" s="3"/>
      <c r="D2544" s="3"/>
      <c r="E2544" s="3"/>
      <c r="F2544" s="3"/>
      <c r="G2544" s="3"/>
      <c r="H2544" s="3"/>
      <c r="I2544" s="3"/>
      <c r="J2544" s="3"/>
      <c r="K2544" s="3"/>
      <c r="L2544" s="3"/>
      <c r="M2544" s="3"/>
      <c r="N2544" s="3"/>
    </row>
    <row r="2545" spans="1:14" ht="16.5" customHeight="1">
      <c r="A2545" s="3"/>
      <c r="B2545" s="3"/>
      <c r="C2545" s="3"/>
      <c r="D2545" s="3"/>
      <c r="E2545" s="3"/>
      <c r="F2545" s="3"/>
      <c r="G2545" s="3"/>
      <c r="H2545" s="3"/>
      <c r="I2545" s="3"/>
      <c r="J2545" s="3"/>
      <c r="K2545" s="3"/>
      <c r="L2545" s="3"/>
      <c r="M2545" s="3"/>
      <c r="N2545" s="3"/>
    </row>
    <row r="2546" spans="1:14" ht="16.5" customHeight="1">
      <c r="A2546" s="3"/>
      <c r="B2546" s="3"/>
      <c r="C2546" s="3"/>
      <c r="D2546" s="3"/>
      <c r="E2546" s="3"/>
      <c r="F2546" s="3"/>
      <c r="G2546" s="3"/>
      <c r="H2546" s="3"/>
      <c r="I2546" s="3"/>
      <c r="J2546" s="3"/>
      <c r="K2546" s="3"/>
      <c r="L2546" s="3"/>
      <c r="M2546" s="3"/>
      <c r="N2546" s="3"/>
    </row>
    <row r="2547" spans="1:14" ht="16.5" customHeight="1">
      <c r="A2547" s="3"/>
      <c r="B2547" s="3"/>
      <c r="C2547" s="3"/>
      <c r="D2547" s="3"/>
      <c r="E2547" s="3"/>
      <c r="F2547" s="3"/>
      <c r="G2547" s="3"/>
      <c r="H2547" s="3"/>
      <c r="I2547" s="3"/>
      <c r="J2547" s="3"/>
      <c r="K2547" s="3"/>
      <c r="L2547" s="3"/>
      <c r="M2547" s="3"/>
      <c r="N2547" s="3"/>
    </row>
    <row r="2548" spans="1:14" ht="16.5" customHeight="1">
      <c r="A2548" s="3"/>
      <c r="B2548" s="3"/>
      <c r="C2548" s="3"/>
      <c r="D2548" s="3"/>
      <c r="E2548" s="3"/>
      <c r="F2548" s="3"/>
      <c r="G2548" s="3"/>
      <c r="H2548" s="3"/>
      <c r="I2548" s="3"/>
      <c r="J2548" s="3"/>
      <c r="K2548" s="3"/>
      <c r="L2548" s="3"/>
      <c r="M2548" s="3"/>
      <c r="N2548" s="3"/>
    </row>
    <row r="2549" spans="1:14" ht="16.5" customHeight="1">
      <c r="A2549" s="3"/>
      <c r="B2549" s="3"/>
      <c r="C2549" s="3"/>
      <c r="D2549" s="3"/>
      <c r="E2549" s="3"/>
      <c r="F2549" s="3"/>
      <c r="G2549" s="3"/>
      <c r="H2549" s="3"/>
      <c r="I2549" s="3"/>
      <c r="J2549" s="3"/>
      <c r="K2549" s="3"/>
      <c r="L2549" s="3"/>
      <c r="M2549" s="3"/>
      <c r="N2549" s="3"/>
    </row>
    <row r="2550" spans="1:14" ht="16.5" customHeight="1">
      <c r="A2550" s="3"/>
      <c r="B2550" s="3"/>
      <c r="C2550" s="3"/>
      <c r="D2550" s="3"/>
      <c r="E2550" s="3"/>
      <c r="F2550" s="3"/>
      <c r="G2550" s="3"/>
      <c r="H2550" s="3"/>
      <c r="I2550" s="3"/>
      <c r="J2550" s="3"/>
      <c r="K2550" s="3"/>
      <c r="L2550" s="3"/>
      <c r="M2550" s="3"/>
      <c r="N2550" s="3"/>
    </row>
    <row r="2551" spans="1:14" ht="16.5" customHeight="1">
      <c r="A2551" s="3"/>
      <c r="B2551" s="3"/>
      <c r="C2551" s="3"/>
      <c r="D2551" s="3"/>
      <c r="E2551" s="3"/>
      <c r="F2551" s="3"/>
      <c r="G2551" s="3"/>
      <c r="H2551" s="3"/>
      <c r="I2551" s="3"/>
      <c r="J2551" s="3"/>
      <c r="K2551" s="3"/>
      <c r="L2551" s="3"/>
      <c r="M2551" s="3"/>
      <c r="N2551" s="3"/>
    </row>
    <row r="2552" spans="1:14" ht="16.5" customHeight="1">
      <c r="A2552" s="3"/>
      <c r="B2552" s="3"/>
      <c r="C2552" s="3"/>
      <c r="D2552" s="3"/>
      <c r="E2552" s="3"/>
      <c r="F2552" s="3"/>
      <c r="G2552" s="3"/>
      <c r="H2552" s="3"/>
      <c r="I2552" s="3"/>
      <c r="J2552" s="3"/>
      <c r="K2552" s="3"/>
      <c r="L2552" s="3"/>
      <c r="M2552" s="3"/>
      <c r="N2552" s="3"/>
    </row>
    <row r="2553" spans="1:14" ht="16.5" customHeight="1">
      <c r="A2553" s="3"/>
      <c r="B2553" s="3"/>
      <c r="C2553" s="3"/>
      <c r="D2553" s="3"/>
      <c r="E2553" s="3"/>
      <c r="F2553" s="3"/>
      <c r="G2553" s="3"/>
      <c r="H2553" s="3"/>
      <c r="I2553" s="3"/>
      <c r="J2553" s="3"/>
      <c r="K2553" s="3"/>
      <c r="L2553" s="3"/>
      <c r="M2553" s="3"/>
      <c r="N2553" s="3"/>
    </row>
    <row r="2554" spans="1:14" ht="16.5" customHeight="1">
      <c r="A2554" s="3"/>
      <c r="B2554" s="3"/>
      <c r="C2554" s="3"/>
      <c r="D2554" s="3"/>
      <c r="E2554" s="3"/>
      <c r="F2554" s="3"/>
      <c r="G2554" s="3"/>
      <c r="H2554" s="3"/>
      <c r="I2554" s="3"/>
      <c r="J2554" s="3"/>
      <c r="K2554" s="3"/>
      <c r="L2554" s="3"/>
      <c r="M2554" s="3"/>
      <c r="N2554" s="3"/>
    </row>
    <row r="2555" spans="1:14" ht="16.5" customHeight="1">
      <c r="A2555" s="3"/>
      <c r="B2555" s="3"/>
      <c r="C2555" s="3"/>
      <c r="D2555" s="3"/>
      <c r="E2555" s="3"/>
      <c r="F2555" s="3"/>
      <c r="G2555" s="3"/>
      <c r="H2555" s="3"/>
      <c r="I2555" s="3"/>
      <c r="J2555" s="3"/>
      <c r="K2555" s="3"/>
      <c r="L2555" s="3"/>
      <c r="M2555" s="3"/>
      <c r="N2555" s="3"/>
    </row>
    <row r="2556" spans="1:14" ht="16.5" customHeight="1">
      <c r="A2556" s="3"/>
      <c r="B2556" s="3"/>
      <c r="C2556" s="3"/>
      <c r="D2556" s="3"/>
      <c r="E2556" s="3"/>
      <c r="F2556" s="3"/>
      <c r="G2556" s="3"/>
      <c r="H2556" s="3"/>
      <c r="I2556" s="3"/>
      <c r="J2556" s="3"/>
      <c r="K2556" s="3"/>
      <c r="L2556" s="3"/>
      <c r="M2556" s="3"/>
      <c r="N2556" s="3"/>
    </row>
    <row r="2557" spans="1:14" ht="16.5" customHeight="1">
      <c r="A2557" s="3"/>
      <c r="B2557" s="3"/>
      <c r="C2557" s="3"/>
      <c r="D2557" s="3"/>
      <c r="E2557" s="3"/>
      <c r="F2557" s="3"/>
      <c r="G2557" s="3"/>
      <c r="H2557" s="3"/>
      <c r="I2557" s="3"/>
      <c r="J2557" s="3"/>
      <c r="K2557" s="3"/>
      <c r="L2557" s="3"/>
      <c r="M2557" s="3"/>
      <c r="N2557" s="3"/>
    </row>
    <row r="2558" spans="1:14" ht="16.5" customHeight="1">
      <c r="A2558" s="3"/>
      <c r="B2558" s="3"/>
      <c r="C2558" s="3"/>
      <c r="D2558" s="3"/>
      <c r="E2558" s="3"/>
      <c r="F2558" s="3"/>
      <c r="G2558" s="3"/>
      <c r="H2558" s="3"/>
      <c r="I2558" s="3"/>
      <c r="J2558" s="3"/>
      <c r="K2558" s="3"/>
      <c r="L2558" s="3"/>
      <c r="M2558" s="3"/>
      <c r="N2558" s="3"/>
    </row>
    <row r="2559" spans="1:14" ht="16.5" customHeight="1">
      <c r="A2559" s="3"/>
      <c r="B2559" s="3"/>
      <c r="C2559" s="3"/>
      <c r="D2559" s="3"/>
      <c r="E2559" s="3"/>
      <c r="F2559" s="3"/>
      <c r="G2559" s="3"/>
      <c r="H2559" s="3"/>
      <c r="I2559" s="3"/>
      <c r="J2559" s="3"/>
      <c r="K2559" s="3"/>
      <c r="L2559" s="3"/>
      <c r="M2559" s="3"/>
      <c r="N2559" s="3"/>
    </row>
    <row r="2560" spans="1:14" ht="16.5" customHeight="1">
      <c r="A2560" s="3"/>
      <c r="B2560" s="3"/>
      <c r="C2560" s="3"/>
      <c r="D2560" s="3"/>
      <c r="E2560" s="3"/>
      <c r="F2560" s="3"/>
      <c r="G2560" s="3"/>
      <c r="H2560" s="3"/>
      <c r="I2560" s="3"/>
      <c r="J2560" s="3"/>
      <c r="K2560" s="3"/>
      <c r="L2560" s="3"/>
      <c r="M2560" s="3"/>
      <c r="N2560" s="3"/>
    </row>
    <row r="2561" spans="1:14" ht="16.5" customHeight="1">
      <c r="A2561" s="3"/>
      <c r="B2561" s="3"/>
      <c r="C2561" s="3"/>
      <c r="D2561" s="3"/>
      <c r="E2561" s="3"/>
      <c r="F2561" s="3"/>
      <c r="G2561" s="3"/>
      <c r="H2561" s="3"/>
      <c r="I2561" s="3"/>
      <c r="J2561" s="3"/>
      <c r="K2561" s="3"/>
      <c r="L2561" s="3"/>
      <c r="M2561" s="3"/>
      <c r="N2561" s="3"/>
    </row>
    <row r="2562" spans="1:14" ht="16.5" customHeight="1">
      <c r="A2562" s="3"/>
      <c r="B2562" s="3"/>
      <c r="C2562" s="3"/>
      <c r="D2562" s="3"/>
      <c r="E2562" s="3"/>
      <c r="F2562" s="3"/>
      <c r="G2562" s="3"/>
      <c r="H2562" s="3"/>
      <c r="I2562" s="3"/>
      <c r="J2562" s="3"/>
      <c r="K2562" s="3"/>
      <c r="L2562" s="3"/>
      <c r="M2562" s="3"/>
      <c r="N2562" s="3"/>
    </row>
    <row r="2563" spans="1:14" ht="16.5" customHeight="1">
      <c r="A2563" s="3"/>
      <c r="B2563" s="3"/>
      <c r="C2563" s="3"/>
      <c r="D2563" s="3"/>
      <c r="E2563" s="3"/>
      <c r="F2563" s="3"/>
      <c r="G2563" s="3"/>
      <c r="H2563" s="3"/>
      <c r="I2563" s="3"/>
      <c r="J2563" s="3"/>
      <c r="K2563" s="3"/>
      <c r="L2563" s="3"/>
      <c r="M2563" s="3"/>
      <c r="N2563" s="3"/>
    </row>
    <row r="2564" spans="1:14" ht="16.5" customHeight="1">
      <c r="A2564" s="3"/>
      <c r="B2564" s="3"/>
      <c r="C2564" s="3"/>
      <c r="D2564" s="3"/>
      <c r="E2564" s="3"/>
      <c r="F2564" s="3"/>
      <c r="G2564" s="3"/>
      <c r="H2564" s="3"/>
      <c r="I2564" s="3"/>
      <c r="J2564" s="3"/>
      <c r="K2564" s="3"/>
      <c r="L2564" s="3"/>
      <c r="M2564" s="3"/>
      <c r="N2564" s="3"/>
    </row>
    <row r="2565" spans="1:14" ht="16.5" customHeight="1">
      <c r="A2565" s="3"/>
      <c r="B2565" s="3"/>
      <c r="C2565" s="3"/>
      <c r="D2565" s="3"/>
      <c r="E2565" s="3"/>
      <c r="F2565" s="3"/>
      <c r="G2565" s="3"/>
      <c r="H2565" s="3"/>
      <c r="I2565" s="3"/>
      <c r="J2565" s="3"/>
      <c r="K2565" s="3"/>
      <c r="L2565" s="3"/>
      <c r="M2565" s="3"/>
      <c r="N2565" s="3"/>
    </row>
    <row r="2566" spans="1:14" ht="16.5" customHeight="1">
      <c r="A2566" s="3"/>
      <c r="B2566" s="3"/>
      <c r="C2566" s="3"/>
      <c r="D2566" s="3"/>
      <c r="E2566" s="3"/>
      <c r="F2566" s="3"/>
      <c r="G2566" s="3"/>
      <c r="H2566" s="3"/>
      <c r="I2566" s="3"/>
      <c r="J2566" s="3"/>
      <c r="K2566" s="3"/>
      <c r="L2566" s="3"/>
      <c r="M2566" s="3"/>
      <c r="N2566" s="3"/>
    </row>
    <row r="2567" spans="1:14" ht="16.5" customHeight="1">
      <c r="A2567" s="3"/>
      <c r="B2567" s="3"/>
      <c r="C2567" s="3"/>
      <c r="D2567" s="3"/>
      <c r="E2567" s="3"/>
      <c r="F2567" s="3"/>
      <c r="G2567" s="3"/>
      <c r="H2567" s="3"/>
      <c r="I2567" s="3"/>
      <c r="J2567" s="3"/>
      <c r="K2567" s="3"/>
      <c r="L2567" s="3"/>
      <c r="M2567" s="3"/>
      <c r="N2567" s="3"/>
    </row>
    <row r="2568" spans="1:14" ht="16.5" customHeight="1">
      <c r="A2568" s="3"/>
      <c r="B2568" s="3"/>
      <c r="C2568" s="3"/>
      <c r="D2568" s="3"/>
      <c r="E2568" s="3"/>
      <c r="F2568" s="3"/>
      <c r="G2568" s="3"/>
      <c r="H2568" s="3"/>
      <c r="I2568" s="3"/>
      <c r="J2568" s="3"/>
      <c r="K2568" s="3"/>
      <c r="L2568" s="3"/>
      <c r="M2568" s="3"/>
      <c r="N2568" s="3"/>
    </row>
    <row r="2569" spans="1:14" ht="16.5" customHeight="1">
      <c r="A2569" s="3"/>
      <c r="B2569" s="3"/>
      <c r="C2569" s="3"/>
      <c r="D2569" s="3"/>
      <c r="E2569" s="3"/>
      <c r="F2569" s="3"/>
      <c r="G2569" s="3"/>
      <c r="H2569" s="3"/>
      <c r="I2569" s="3"/>
      <c r="J2569" s="3"/>
      <c r="K2569" s="3"/>
      <c r="L2569" s="3"/>
      <c r="M2569" s="3"/>
      <c r="N2569" s="3"/>
    </row>
    <row r="2570" spans="1:14" ht="16.5" customHeight="1">
      <c r="A2570" s="3"/>
      <c r="B2570" s="3"/>
      <c r="C2570" s="3"/>
      <c r="D2570" s="3"/>
      <c r="E2570" s="3"/>
      <c r="F2570" s="3"/>
      <c r="G2570" s="3"/>
      <c r="H2570" s="3"/>
      <c r="I2570" s="3"/>
      <c r="J2570" s="3"/>
      <c r="K2570" s="3"/>
      <c r="L2570" s="3"/>
      <c r="M2570" s="3"/>
      <c r="N2570" s="3"/>
    </row>
    <row r="2571" spans="1:14" ht="16.5" customHeight="1">
      <c r="A2571" s="3"/>
      <c r="B2571" s="3"/>
      <c r="C2571" s="3"/>
      <c r="D2571" s="3"/>
      <c r="E2571" s="3"/>
      <c r="F2571" s="3"/>
      <c r="G2571" s="3"/>
      <c r="H2571" s="3"/>
      <c r="I2571" s="3"/>
      <c r="J2571" s="3"/>
      <c r="K2571" s="3"/>
      <c r="L2571" s="3"/>
      <c r="M2571" s="3"/>
      <c r="N2571" s="3"/>
    </row>
    <row r="2572" spans="1:14" ht="16.5" customHeight="1">
      <c r="A2572" s="3"/>
      <c r="B2572" s="3"/>
      <c r="C2572" s="3"/>
      <c r="D2572" s="3"/>
      <c r="E2572" s="3"/>
      <c r="F2572" s="3"/>
      <c r="G2572" s="3"/>
      <c r="H2572" s="3"/>
      <c r="I2572" s="3"/>
      <c r="J2572" s="3"/>
      <c r="K2572" s="3"/>
      <c r="L2572" s="3"/>
      <c r="M2572" s="3"/>
      <c r="N2572" s="3"/>
    </row>
    <row r="2573" spans="1:14" ht="16.5" customHeight="1">
      <c r="A2573" s="3"/>
      <c r="B2573" s="3"/>
      <c r="C2573" s="3"/>
      <c r="D2573" s="3"/>
      <c r="E2573" s="3"/>
      <c r="F2573" s="3"/>
      <c r="G2573" s="3"/>
      <c r="H2573" s="3"/>
      <c r="I2573" s="3"/>
      <c r="J2573" s="3"/>
      <c r="K2573" s="3"/>
      <c r="L2573" s="3"/>
      <c r="M2573" s="3"/>
      <c r="N2573" s="3"/>
    </row>
    <row r="2574" spans="1:14" ht="16.5" customHeight="1">
      <c r="A2574" s="3"/>
      <c r="B2574" s="3"/>
      <c r="C2574" s="3"/>
      <c r="D2574" s="3"/>
      <c r="E2574" s="3"/>
      <c r="F2574" s="3"/>
      <c r="G2574" s="3"/>
      <c r="H2574" s="3"/>
      <c r="I2574" s="3"/>
      <c r="J2574" s="3"/>
      <c r="K2574" s="3"/>
      <c r="L2574" s="3"/>
      <c r="M2574" s="3"/>
      <c r="N2574" s="3"/>
    </row>
    <row r="2575" spans="1:14" ht="16.5" customHeight="1">
      <c r="A2575" s="3"/>
      <c r="B2575" s="3"/>
      <c r="C2575" s="3"/>
      <c r="D2575" s="3"/>
      <c r="E2575" s="3"/>
      <c r="F2575" s="3"/>
      <c r="G2575" s="3"/>
      <c r="H2575" s="3"/>
      <c r="I2575" s="3"/>
      <c r="J2575" s="3"/>
      <c r="K2575" s="3"/>
      <c r="L2575" s="3"/>
      <c r="M2575" s="3"/>
      <c r="N2575" s="3"/>
    </row>
    <row r="2576" spans="1:14" ht="16.5" customHeight="1">
      <c r="A2576" s="3"/>
      <c r="B2576" s="3"/>
      <c r="C2576" s="3"/>
      <c r="D2576" s="3"/>
      <c r="E2576" s="3"/>
      <c r="F2576" s="3"/>
      <c r="G2576" s="3"/>
      <c r="H2576" s="3"/>
      <c r="I2576" s="3"/>
      <c r="J2576" s="3"/>
      <c r="K2576" s="3"/>
      <c r="L2576" s="3"/>
      <c r="M2576" s="3"/>
      <c r="N2576" s="3"/>
    </row>
    <row r="2577" spans="1:14" ht="16.5" customHeight="1">
      <c r="A2577" s="3"/>
      <c r="B2577" s="3"/>
      <c r="C2577" s="3"/>
      <c r="D2577" s="3"/>
      <c r="E2577" s="3"/>
      <c r="F2577" s="3"/>
      <c r="G2577" s="3"/>
      <c r="H2577" s="3"/>
      <c r="I2577" s="3"/>
      <c r="J2577" s="3"/>
      <c r="K2577" s="3"/>
      <c r="L2577" s="3"/>
      <c r="M2577" s="3"/>
      <c r="N2577" s="3"/>
    </row>
    <row r="2578" spans="1:14" ht="16.5" customHeight="1">
      <c r="A2578" s="3"/>
      <c r="B2578" s="3"/>
      <c r="C2578" s="3"/>
      <c r="D2578" s="3"/>
      <c r="E2578" s="3"/>
      <c r="F2578" s="3"/>
      <c r="G2578" s="3"/>
      <c r="H2578" s="3"/>
      <c r="I2578" s="3"/>
      <c r="J2578" s="3"/>
      <c r="K2578" s="3"/>
      <c r="L2578" s="3"/>
      <c r="M2578" s="3"/>
      <c r="N2578" s="3"/>
    </row>
    <row r="2579" spans="1:14" ht="16.5" customHeight="1">
      <c r="A2579" s="3"/>
      <c r="B2579" s="3"/>
      <c r="C2579" s="3"/>
      <c r="D2579" s="3"/>
      <c r="E2579" s="3"/>
      <c r="F2579" s="3"/>
      <c r="G2579" s="3"/>
      <c r="H2579" s="3"/>
      <c r="I2579" s="3"/>
      <c r="J2579" s="3"/>
      <c r="K2579" s="3"/>
      <c r="L2579" s="3"/>
      <c r="M2579" s="3"/>
      <c r="N2579" s="3"/>
    </row>
    <row r="2580" spans="1:14" ht="16.5" customHeight="1">
      <c r="A2580" s="3"/>
      <c r="B2580" s="3"/>
      <c r="C2580" s="3"/>
      <c r="D2580" s="3"/>
      <c r="E2580" s="3"/>
      <c r="F2580" s="3"/>
      <c r="G2580" s="3"/>
      <c r="H2580" s="3"/>
      <c r="I2580" s="3"/>
      <c r="J2580" s="3"/>
      <c r="K2580" s="3"/>
      <c r="L2580" s="3"/>
      <c r="M2580" s="3"/>
      <c r="N2580" s="3"/>
    </row>
    <row r="2581" spans="1:14" ht="16.5" customHeight="1">
      <c r="A2581" s="3"/>
      <c r="B2581" s="3"/>
      <c r="C2581" s="3"/>
      <c r="D2581" s="3"/>
      <c r="E2581" s="3"/>
      <c r="F2581" s="3"/>
      <c r="G2581" s="3"/>
      <c r="H2581" s="3"/>
      <c r="I2581" s="3"/>
      <c r="J2581" s="3"/>
      <c r="K2581" s="3"/>
      <c r="L2581" s="3"/>
      <c r="M2581" s="3"/>
      <c r="N2581" s="3"/>
    </row>
    <row r="2582" spans="1:14" ht="16.5" customHeight="1">
      <c r="A2582" s="3"/>
      <c r="B2582" s="3"/>
      <c r="C2582" s="3"/>
      <c r="D2582" s="3"/>
      <c r="E2582" s="3"/>
      <c r="F2582" s="3"/>
      <c r="G2582" s="3"/>
      <c r="H2582" s="3"/>
      <c r="I2582" s="3"/>
      <c r="J2582" s="3"/>
      <c r="K2582" s="3"/>
      <c r="L2582" s="3"/>
      <c r="M2582" s="3"/>
      <c r="N2582" s="3"/>
    </row>
    <row r="2583" spans="1:14" ht="16.5" customHeight="1">
      <c r="A2583" s="3"/>
      <c r="B2583" s="3"/>
      <c r="C2583" s="3"/>
      <c r="D2583" s="3"/>
      <c r="E2583" s="3"/>
      <c r="F2583" s="3"/>
      <c r="G2583" s="3"/>
      <c r="H2583" s="3"/>
      <c r="I2583" s="3"/>
      <c r="J2583" s="3"/>
      <c r="K2583" s="3"/>
      <c r="L2583" s="3"/>
      <c r="M2583" s="3"/>
      <c r="N2583" s="3"/>
    </row>
    <row r="2584" spans="1:14" ht="16.5" customHeight="1">
      <c r="A2584" s="3"/>
      <c r="B2584" s="3"/>
      <c r="C2584" s="3"/>
      <c r="D2584" s="3"/>
      <c r="E2584" s="3"/>
      <c r="F2584" s="3"/>
      <c r="G2584" s="3"/>
      <c r="H2584" s="3"/>
      <c r="I2584" s="3"/>
      <c r="J2584" s="3"/>
      <c r="K2584" s="3"/>
      <c r="L2584" s="3"/>
      <c r="M2584" s="3"/>
      <c r="N2584" s="3"/>
    </row>
    <row r="2585" spans="1:14" ht="16.5" customHeight="1">
      <c r="A2585" s="3"/>
      <c r="B2585" s="3"/>
      <c r="C2585" s="3"/>
      <c r="D2585" s="3"/>
      <c r="E2585" s="3"/>
      <c r="F2585" s="3"/>
      <c r="G2585" s="3"/>
      <c r="H2585" s="3"/>
      <c r="I2585" s="3"/>
      <c r="J2585" s="3"/>
      <c r="K2585" s="3"/>
      <c r="L2585" s="3"/>
      <c r="M2585" s="3"/>
      <c r="N2585" s="3"/>
    </row>
    <row r="2586" spans="1:14" ht="16.5" customHeight="1">
      <c r="A2586" s="3"/>
      <c r="B2586" s="3"/>
      <c r="C2586" s="3"/>
      <c r="D2586" s="3"/>
      <c r="E2586" s="3"/>
      <c r="F2586" s="3"/>
      <c r="G2586" s="3"/>
      <c r="H2586" s="3"/>
      <c r="I2586" s="3"/>
      <c r="J2586" s="3"/>
      <c r="K2586" s="3"/>
      <c r="L2586" s="3"/>
      <c r="M2586" s="3"/>
      <c r="N2586" s="3"/>
    </row>
    <row r="2587" spans="1:14" ht="16.5" customHeight="1">
      <c r="A2587" s="3"/>
      <c r="B2587" s="3"/>
      <c r="C2587" s="3"/>
      <c r="D2587" s="3"/>
      <c r="E2587" s="3"/>
      <c r="F2587" s="3"/>
      <c r="G2587" s="3"/>
      <c r="H2587" s="3"/>
      <c r="I2587" s="3"/>
      <c r="J2587" s="3"/>
      <c r="K2587" s="3"/>
      <c r="L2587" s="3"/>
      <c r="M2587" s="3"/>
      <c r="N2587" s="3"/>
    </row>
    <row r="2588" spans="1:14" ht="16.5" customHeight="1">
      <c r="A2588" s="3"/>
      <c r="B2588" s="3"/>
      <c r="C2588" s="3"/>
      <c r="D2588" s="3"/>
      <c r="E2588" s="3"/>
      <c r="F2588" s="3"/>
      <c r="G2588" s="3"/>
      <c r="H2588" s="3"/>
      <c r="I2588" s="3"/>
      <c r="J2588" s="3"/>
      <c r="K2588" s="3"/>
      <c r="L2588" s="3"/>
      <c r="M2588" s="3"/>
      <c r="N2588" s="3"/>
    </row>
    <row r="2589" spans="1:14" ht="16.5" customHeight="1">
      <c r="A2589" s="3"/>
      <c r="B2589" s="3"/>
      <c r="C2589" s="3"/>
      <c r="D2589" s="3"/>
      <c r="E2589" s="3"/>
      <c r="F2589" s="3"/>
      <c r="G2589" s="3"/>
      <c r="H2589" s="3"/>
      <c r="I2589" s="3"/>
      <c r="J2589" s="3"/>
      <c r="K2589" s="3"/>
      <c r="L2589" s="3"/>
      <c r="M2589" s="3"/>
      <c r="N2589" s="3"/>
    </row>
    <row r="2590" spans="1:14" ht="16.5" customHeight="1">
      <c r="A2590" s="3"/>
      <c r="B2590" s="3"/>
      <c r="C2590" s="3"/>
      <c r="D2590" s="3"/>
      <c r="E2590" s="3"/>
      <c r="F2590" s="3"/>
      <c r="G2590" s="3"/>
      <c r="H2590" s="3"/>
      <c r="I2590" s="3"/>
      <c r="J2590" s="3"/>
      <c r="K2590" s="3"/>
      <c r="L2590" s="3"/>
      <c r="M2590" s="3"/>
      <c r="N2590" s="3"/>
    </row>
    <row r="2591" spans="1:14" ht="16.5" customHeight="1">
      <c r="A2591" s="3"/>
      <c r="B2591" s="3"/>
      <c r="C2591" s="3"/>
      <c r="D2591" s="3"/>
      <c r="E2591" s="3"/>
      <c r="F2591" s="3"/>
      <c r="G2591" s="3"/>
      <c r="H2591" s="3"/>
      <c r="I2591" s="3"/>
      <c r="J2591" s="3"/>
      <c r="K2591" s="3"/>
      <c r="L2591" s="3"/>
      <c r="M2591" s="3"/>
      <c r="N2591" s="3"/>
    </row>
    <row r="2592" spans="1:14" ht="16.5" customHeight="1">
      <c r="A2592" s="3"/>
      <c r="B2592" s="3"/>
      <c r="C2592" s="3"/>
      <c r="D2592" s="3"/>
      <c r="E2592" s="3"/>
      <c r="F2592" s="3"/>
      <c r="G2592" s="3"/>
      <c r="H2592" s="3"/>
      <c r="I2592" s="3"/>
      <c r="J2592" s="3"/>
      <c r="K2592" s="3"/>
      <c r="L2592" s="3"/>
      <c r="M2592" s="3"/>
      <c r="N2592" s="3"/>
    </row>
    <row r="2593" spans="1:14" ht="16.5" customHeight="1">
      <c r="A2593" s="3"/>
      <c r="B2593" s="3"/>
      <c r="C2593" s="3"/>
      <c r="D2593" s="3"/>
      <c r="E2593" s="3"/>
      <c r="F2593" s="3"/>
      <c r="G2593" s="3"/>
      <c r="H2593" s="3"/>
      <c r="I2593" s="3"/>
      <c r="J2593" s="3"/>
      <c r="K2593" s="3"/>
      <c r="L2593" s="3"/>
      <c r="M2593" s="3"/>
      <c r="N2593" s="3"/>
    </row>
    <row r="2594" spans="1:14" ht="16.5" customHeight="1">
      <c r="A2594" s="3"/>
      <c r="B2594" s="3"/>
      <c r="C2594" s="3"/>
      <c r="D2594" s="3"/>
      <c r="E2594" s="3"/>
      <c r="F2594" s="3"/>
      <c r="G2594" s="3"/>
      <c r="H2594" s="3"/>
      <c r="I2594" s="3"/>
      <c r="J2594" s="3"/>
      <c r="K2594" s="3"/>
      <c r="L2594" s="3"/>
      <c r="M2594" s="3"/>
      <c r="N2594" s="3"/>
    </row>
    <row r="2595" spans="1:14" ht="16.5" customHeight="1">
      <c r="A2595" s="3"/>
      <c r="B2595" s="3"/>
      <c r="C2595" s="3"/>
      <c r="D2595" s="3"/>
      <c r="E2595" s="3"/>
      <c r="F2595" s="3"/>
      <c r="G2595" s="3"/>
      <c r="H2595" s="3"/>
      <c r="I2595" s="3"/>
      <c r="J2595" s="3"/>
      <c r="K2595" s="3"/>
      <c r="L2595" s="3"/>
      <c r="M2595" s="3"/>
      <c r="N2595" s="3"/>
    </row>
    <row r="2596" spans="1:14" ht="16.5" customHeight="1">
      <c r="A2596" s="3"/>
      <c r="B2596" s="3"/>
      <c r="C2596" s="3"/>
      <c r="D2596" s="3"/>
      <c r="E2596" s="3"/>
      <c r="F2596" s="3"/>
      <c r="G2596" s="3"/>
      <c r="H2596" s="3"/>
      <c r="I2596" s="3"/>
      <c r="J2596" s="3"/>
      <c r="K2596" s="3"/>
      <c r="L2596" s="3"/>
      <c r="M2596" s="3"/>
      <c r="N2596" s="3"/>
    </row>
    <row r="2597" spans="1:14" ht="16.5" customHeight="1">
      <c r="A2597" s="3"/>
      <c r="B2597" s="3"/>
      <c r="C2597" s="3"/>
      <c r="D2597" s="3"/>
      <c r="E2597" s="3"/>
      <c r="F2597" s="3"/>
      <c r="G2597" s="3"/>
      <c r="H2597" s="3"/>
      <c r="I2597" s="3"/>
      <c r="J2597" s="3"/>
      <c r="K2597" s="3"/>
      <c r="L2597" s="3"/>
      <c r="M2597" s="3"/>
      <c r="N2597" s="3"/>
    </row>
    <row r="2598" spans="1:14" ht="16.5" customHeight="1">
      <c r="A2598" s="3"/>
      <c r="B2598" s="3"/>
      <c r="C2598" s="3"/>
      <c r="D2598" s="3"/>
      <c r="E2598" s="3"/>
      <c r="F2598" s="3"/>
      <c r="G2598" s="3"/>
      <c r="H2598" s="3"/>
      <c r="I2598" s="3"/>
      <c r="J2598" s="3"/>
      <c r="K2598" s="3"/>
      <c r="L2598" s="3"/>
      <c r="M2598" s="3"/>
      <c r="N2598" s="3"/>
    </row>
    <row r="2599" spans="1:14" ht="16.5" customHeight="1">
      <c r="A2599" s="3"/>
      <c r="B2599" s="3"/>
      <c r="C2599" s="3"/>
      <c r="D2599" s="3"/>
      <c r="E2599" s="3"/>
      <c r="F2599" s="3"/>
      <c r="G2599" s="3"/>
      <c r="H2599" s="3"/>
      <c r="I2599" s="3"/>
      <c r="J2599" s="3"/>
      <c r="K2599" s="3"/>
      <c r="L2599" s="3"/>
      <c r="M2599" s="3"/>
      <c r="N2599" s="3"/>
    </row>
    <row r="2600" spans="1:14" ht="16.5" customHeight="1">
      <c r="A2600" s="3"/>
      <c r="B2600" s="3"/>
      <c r="C2600" s="3"/>
      <c r="D2600" s="3"/>
      <c r="E2600" s="3"/>
      <c r="F2600" s="3"/>
      <c r="G2600" s="3"/>
      <c r="H2600" s="3"/>
      <c r="I2600" s="3"/>
      <c r="J2600" s="3"/>
      <c r="K2600" s="3"/>
      <c r="L2600" s="3"/>
      <c r="M2600" s="3"/>
      <c r="N2600" s="3"/>
    </row>
    <row r="2601" spans="1:14" ht="16.5" customHeight="1">
      <c r="A2601" s="3"/>
      <c r="B2601" s="3"/>
      <c r="C2601" s="3"/>
      <c r="D2601" s="3"/>
      <c r="E2601" s="3"/>
      <c r="F2601" s="3"/>
      <c r="G2601" s="3"/>
      <c r="H2601" s="3"/>
      <c r="I2601" s="3"/>
      <c r="J2601" s="3"/>
      <c r="K2601" s="3"/>
      <c r="L2601" s="3"/>
      <c r="M2601" s="3"/>
      <c r="N2601" s="3"/>
    </row>
    <row r="2602" spans="1:14" ht="16.5" customHeight="1">
      <c r="A2602" s="3"/>
      <c r="B2602" s="3"/>
      <c r="C2602" s="3"/>
      <c r="D2602" s="3"/>
      <c r="E2602" s="3"/>
      <c r="F2602" s="3"/>
      <c r="G2602" s="3"/>
      <c r="H2602" s="3"/>
      <c r="I2602" s="3"/>
      <c r="J2602" s="3"/>
      <c r="K2602" s="3"/>
      <c r="L2602" s="3"/>
      <c r="M2602" s="3"/>
      <c r="N2602" s="3"/>
    </row>
    <row r="2603" spans="1:14" ht="16.5" customHeight="1">
      <c r="A2603" s="3"/>
      <c r="B2603" s="3"/>
      <c r="C2603" s="3"/>
      <c r="D2603" s="3"/>
      <c r="E2603" s="3"/>
      <c r="F2603" s="3"/>
      <c r="G2603" s="3"/>
      <c r="H2603" s="3"/>
      <c r="I2603" s="3"/>
      <c r="J2603" s="3"/>
      <c r="K2603" s="3"/>
      <c r="L2603" s="3"/>
      <c r="M2603" s="3"/>
      <c r="N2603" s="3"/>
    </row>
    <row r="2604" spans="1:14" ht="16.5" customHeight="1">
      <c r="A2604" s="3"/>
      <c r="B2604" s="3"/>
      <c r="C2604" s="3"/>
      <c r="D2604" s="3"/>
      <c r="E2604" s="3"/>
      <c r="F2604" s="3"/>
      <c r="G2604" s="3"/>
      <c r="H2604" s="3"/>
      <c r="I2604" s="3"/>
      <c r="J2604" s="3"/>
      <c r="K2604" s="3"/>
      <c r="L2604" s="3"/>
      <c r="M2604" s="3"/>
      <c r="N2604" s="3"/>
    </row>
    <row r="2605" spans="1:14" ht="16.5" customHeight="1">
      <c r="A2605" s="3"/>
      <c r="B2605" s="3"/>
      <c r="C2605" s="3"/>
      <c r="D2605" s="3"/>
      <c r="E2605" s="3"/>
      <c r="F2605" s="3"/>
      <c r="G2605" s="3"/>
      <c r="H2605" s="3"/>
      <c r="I2605" s="3"/>
      <c r="J2605" s="3"/>
      <c r="K2605" s="3"/>
      <c r="L2605" s="3"/>
      <c r="M2605" s="3"/>
      <c r="N2605" s="3"/>
    </row>
    <row r="2606" spans="1:14" ht="16.5" customHeight="1">
      <c r="A2606" s="3"/>
      <c r="B2606" s="3"/>
      <c r="C2606" s="3"/>
      <c r="D2606" s="3"/>
      <c r="E2606" s="3"/>
      <c r="F2606" s="3"/>
      <c r="G2606" s="3"/>
      <c r="H2606" s="3"/>
      <c r="I2606" s="3"/>
      <c r="J2606" s="3"/>
      <c r="K2606" s="3"/>
      <c r="L2606" s="3"/>
      <c r="M2606" s="3"/>
      <c r="N2606" s="3"/>
    </row>
    <row r="2607" spans="1:14" ht="16.5" customHeight="1">
      <c r="A2607" s="3"/>
      <c r="B2607" s="3"/>
      <c r="C2607" s="3"/>
      <c r="D2607" s="3"/>
      <c r="E2607" s="3"/>
      <c r="F2607" s="3"/>
      <c r="G2607" s="3"/>
      <c r="H2607" s="3"/>
      <c r="I2607" s="3"/>
      <c r="J2607" s="3"/>
      <c r="K2607" s="3"/>
      <c r="L2607" s="3"/>
      <c r="M2607" s="3"/>
      <c r="N2607" s="3"/>
    </row>
    <row r="2608" spans="1:14" ht="16.5" customHeight="1">
      <c r="A2608" s="3"/>
      <c r="B2608" s="3"/>
      <c r="C2608" s="3"/>
      <c r="D2608" s="3"/>
      <c r="E2608" s="3"/>
      <c r="F2608" s="3"/>
      <c r="G2608" s="3"/>
      <c r="H2608" s="3"/>
      <c r="I2608" s="3"/>
      <c r="J2608" s="3"/>
      <c r="K2608" s="3"/>
      <c r="L2608" s="3"/>
      <c r="M2608" s="3"/>
      <c r="N2608" s="3"/>
    </row>
    <row r="2609" spans="1:14" ht="16.5" customHeight="1">
      <c r="A2609" s="3"/>
      <c r="B2609" s="3"/>
      <c r="C2609" s="3"/>
      <c r="D2609" s="3"/>
      <c r="E2609" s="3"/>
      <c r="F2609" s="3"/>
      <c r="G2609" s="3"/>
      <c r="H2609" s="3"/>
      <c r="I2609" s="3"/>
      <c r="J2609" s="3"/>
      <c r="K2609" s="3"/>
      <c r="L2609" s="3"/>
      <c r="M2609" s="3"/>
      <c r="N2609" s="3"/>
    </row>
    <row r="2610" spans="1:14" ht="16.5" customHeight="1">
      <c r="A2610" s="3"/>
      <c r="B2610" s="3"/>
      <c r="C2610" s="3"/>
      <c r="D2610" s="3"/>
      <c r="E2610" s="3"/>
      <c r="F2610" s="3"/>
      <c r="G2610" s="3"/>
      <c r="H2610" s="3"/>
      <c r="I2610" s="3"/>
      <c r="J2610" s="3"/>
      <c r="K2610" s="3"/>
      <c r="L2610" s="3"/>
      <c r="M2610" s="3"/>
      <c r="N2610" s="3"/>
    </row>
    <row r="2611" spans="1:14" ht="16.5" customHeight="1">
      <c r="A2611" s="3"/>
      <c r="B2611" s="3"/>
      <c r="C2611" s="3"/>
      <c r="D2611" s="3"/>
      <c r="E2611" s="3"/>
      <c r="F2611" s="3"/>
      <c r="G2611" s="3"/>
      <c r="H2611" s="3"/>
      <c r="I2611" s="3"/>
      <c r="J2611" s="3"/>
      <c r="K2611" s="3"/>
      <c r="L2611" s="3"/>
      <c r="M2611" s="3"/>
      <c r="N2611" s="3"/>
    </row>
    <row r="2612" spans="1:14" ht="16.5" customHeight="1">
      <c r="A2612" s="3"/>
      <c r="B2612" s="3"/>
      <c r="C2612" s="3"/>
      <c r="D2612" s="3"/>
      <c r="E2612" s="3"/>
      <c r="F2612" s="3"/>
      <c r="G2612" s="3"/>
      <c r="H2612" s="3"/>
      <c r="I2612" s="3"/>
      <c r="J2612" s="3"/>
      <c r="K2612" s="3"/>
      <c r="L2612" s="3"/>
      <c r="M2612" s="3"/>
      <c r="N2612" s="3"/>
    </row>
    <row r="2613" spans="1:14" ht="16.5" customHeight="1">
      <c r="A2613" s="3"/>
      <c r="B2613" s="3"/>
      <c r="C2613" s="3"/>
      <c r="D2613" s="3"/>
      <c r="E2613" s="3"/>
      <c r="F2613" s="3"/>
      <c r="G2613" s="3"/>
      <c r="H2613" s="3"/>
      <c r="I2613" s="3"/>
      <c r="J2613" s="3"/>
      <c r="K2613" s="3"/>
      <c r="L2613" s="3"/>
      <c r="M2613" s="3"/>
      <c r="N2613" s="3"/>
    </row>
    <row r="2614" spans="1:14" ht="16.5" customHeight="1">
      <c r="A2614" s="3"/>
      <c r="B2614" s="3"/>
      <c r="C2614" s="3"/>
      <c r="D2614" s="3"/>
      <c r="E2614" s="3"/>
      <c r="F2614" s="3"/>
      <c r="G2614" s="3"/>
      <c r="H2614" s="3"/>
      <c r="I2614" s="3"/>
      <c r="J2614" s="3"/>
      <c r="K2614" s="3"/>
      <c r="L2614" s="3"/>
      <c r="M2614" s="3"/>
      <c r="N2614" s="3"/>
    </row>
    <row r="2615" spans="1:14" ht="16.5" customHeight="1">
      <c r="A2615" s="3"/>
      <c r="B2615" s="3"/>
      <c r="C2615" s="3"/>
      <c r="D2615" s="3"/>
      <c r="E2615" s="3"/>
      <c r="F2615" s="3"/>
      <c r="G2615" s="3"/>
      <c r="H2615" s="3"/>
      <c r="I2615" s="3"/>
      <c r="J2615" s="3"/>
      <c r="K2615" s="3"/>
      <c r="L2615" s="3"/>
      <c r="M2615" s="3"/>
      <c r="N2615" s="3"/>
    </row>
    <row r="2616" spans="1:14" ht="16.5" customHeight="1">
      <c r="A2616" s="3"/>
      <c r="B2616" s="3"/>
      <c r="C2616" s="3"/>
      <c r="D2616" s="3"/>
      <c r="E2616" s="3"/>
      <c r="F2616" s="3"/>
      <c r="G2616" s="3"/>
      <c r="H2616" s="3"/>
      <c r="I2616" s="3"/>
      <c r="J2616" s="3"/>
      <c r="K2616" s="3"/>
      <c r="L2616" s="3"/>
      <c r="M2616" s="3"/>
      <c r="N2616" s="3"/>
    </row>
    <row r="2617" spans="1:14" ht="16.5" customHeight="1">
      <c r="A2617" s="3"/>
      <c r="B2617" s="3"/>
      <c r="C2617" s="3"/>
      <c r="D2617" s="3"/>
      <c r="E2617" s="3"/>
      <c r="F2617" s="3"/>
      <c r="G2617" s="3"/>
      <c r="H2617" s="3"/>
      <c r="I2617" s="3"/>
      <c r="J2617" s="3"/>
      <c r="K2617" s="3"/>
      <c r="L2617" s="3"/>
      <c r="M2617" s="3"/>
      <c r="N2617" s="3"/>
    </row>
    <row r="2618" spans="1:14" ht="16.5" customHeight="1">
      <c r="A2618" s="3"/>
      <c r="B2618" s="3"/>
      <c r="C2618" s="3"/>
      <c r="D2618" s="3"/>
      <c r="E2618" s="3"/>
      <c r="F2618" s="3"/>
      <c r="G2618" s="3"/>
      <c r="H2618" s="3"/>
      <c r="I2618" s="3"/>
      <c r="J2618" s="3"/>
      <c r="K2618" s="3"/>
      <c r="L2618" s="3"/>
      <c r="M2618" s="3"/>
      <c r="N2618" s="3"/>
    </row>
    <row r="2619" spans="1:14" ht="16.5" customHeight="1">
      <c r="A2619" s="3"/>
      <c r="B2619" s="3"/>
      <c r="C2619" s="3"/>
      <c r="D2619" s="3"/>
      <c r="E2619" s="3"/>
      <c r="F2619" s="3"/>
      <c r="G2619" s="3"/>
      <c r="H2619" s="3"/>
      <c r="I2619" s="3"/>
      <c r="J2619" s="3"/>
      <c r="K2619" s="3"/>
      <c r="L2619" s="3"/>
      <c r="M2619" s="3"/>
      <c r="N2619" s="3"/>
    </row>
    <row r="2620" spans="1:14" ht="16.5" customHeight="1">
      <c r="A2620" s="3"/>
      <c r="B2620" s="3"/>
      <c r="C2620" s="3"/>
      <c r="D2620" s="3"/>
      <c r="E2620" s="3"/>
      <c r="F2620" s="3"/>
      <c r="G2620" s="3"/>
      <c r="H2620" s="3"/>
      <c r="I2620" s="3"/>
      <c r="J2620" s="3"/>
      <c r="K2620" s="3"/>
      <c r="L2620" s="3"/>
      <c r="M2620" s="3"/>
      <c r="N2620" s="3"/>
    </row>
    <row r="2621" spans="1:14" ht="16.5" customHeight="1">
      <c r="A2621" s="3"/>
      <c r="B2621" s="3"/>
      <c r="C2621" s="3"/>
      <c r="D2621" s="3"/>
      <c r="E2621" s="3"/>
      <c r="F2621" s="3"/>
      <c r="G2621" s="3"/>
      <c r="H2621" s="3"/>
      <c r="I2621" s="3"/>
      <c r="J2621" s="3"/>
      <c r="K2621" s="3"/>
      <c r="L2621" s="3"/>
      <c r="M2621" s="3"/>
      <c r="N2621" s="3"/>
    </row>
    <row r="2622" spans="1:14" ht="16.5" customHeight="1">
      <c r="A2622" s="3"/>
      <c r="B2622" s="3"/>
      <c r="C2622" s="3"/>
      <c r="D2622" s="3"/>
      <c r="E2622" s="3"/>
      <c r="F2622" s="3"/>
      <c r="G2622" s="3"/>
      <c r="H2622" s="3"/>
      <c r="I2622" s="3"/>
      <c r="J2622" s="3"/>
      <c r="K2622" s="3"/>
      <c r="L2622" s="3"/>
      <c r="M2622" s="3"/>
      <c r="N2622" s="3"/>
    </row>
    <row r="2623" spans="1:14" ht="16.5" customHeight="1">
      <c r="A2623" s="3"/>
      <c r="B2623" s="3"/>
      <c r="C2623" s="3"/>
      <c r="D2623" s="3"/>
      <c r="E2623" s="3"/>
      <c r="F2623" s="3"/>
      <c r="G2623" s="3"/>
      <c r="H2623" s="3"/>
      <c r="I2623" s="3"/>
      <c r="J2623" s="3"/>
      <c r="K2623" s="3"/>
      <c r="L2623" s="3"/>
      <c r="M2623" s="3"/>
      <c r="N2623" s="3"/>
    </row>
    <row r="2624" spans="1:14" ht="16.5" customHeight="1">
      <c r="A2624" s="3"/>
      <c r="B2624" s="3"/>
      <c r="C2624" s="3"/>
      <c r="D2624" s="3"/>
      <c r="E2624" s="3"/>
      <c r="F2624" s="3"/>
      <c r="G2624" s="3"/>
      <c r="H2624" s="3"/>
      <c r="I2624" s="3"/>
      <c r="J2624" s="3"/>
      <c r="K2624" s="3"/>
      <c r="L2624" s="3"/>
      <c r="M2624" s="3"/>
      <c r="N2624" s="3"/>
    </row>
    <row r="2625" spans="1:14" ht="16.5" customHeight="1">
      <c r="A2625" s="3"/>
      <c r="B2625" s="3"/>
      <c r="C2625" s="3"/>
      <c r="D2625" s="3"/>
      <c r="E2625" s="3"/>
      <c r="F2625" s="3"/>
      <c r="G2625" s="3"/>
      <c r="H2625" s="3"/>
      <c r="I2625" s="3"/>
      <c r="J2625" s="3"/>
      <c r="K2625" s="3"/>
      <c r="L2625" s="3"/>
      <c r="M2625" s="3"/>
      <c r="N2625" s="3"/>
    </row>
    <row r="2626" spans="1:14" ht="16.5" customHeight="1">
      <c r="A2626" s="3"/>
      <c r="B2626" s="3"/>
      <c r="C2626" s="3"/>
      <c r="D2626" s="3"/>
      <c r="E2626" s="3"/>
      <c r="F2626" s="3"/>
      <c r="G2626" s="3"/>
      <c r="H2626" s="3"/>
      <c r="I2626" s="3"/>
      <c r="J2626" s="3"/>
      <c r="K2626" s="3"/>
      <c r="L2626" s="3"/>
      <c r="M2626" s="3"/>
      <c r="N2626" s="3"/>
    </row>
    <row r="2627" spans="1:14" ht="16.5" customHeight="1">
      <c r="A2627" s="3"/>
      <c r="B2627" s="3"/>
      <c r="C2627" s="3"/>
      <c r="D2627" s="3"/>
      <c r="E2627" s="3"/>
      <c r="F2627" s="3"/>
      <c r="G2627" s="3"/>
      <c r="H2627" s="3"/>
      <c r="I2627" s="3"/>
      <c r="J2627" s="3"/>
      <c r="K2627" s="3"/>
      <c r="L2627" s="3"/>
      <c r="M2627" s="3"/>
      <c r="N2627" s="3"/>
    </row>
    <row r="2628" spans="1:14" ht="16.5" customHeight="1">
      <c r="A2628" s="3"/>
      <c r="B2628" s="3"/>
      <c r="C2628" s="3"/>
      <c r="D2628" s="3"/>
      <c r="E2628" s="3"/>
      <c r="F2628" s="3"/>
      <c r="G2628" s="3"/>
      <c r="H2628" s="3"/>
      <c r="I2628" s="3"/>
      <c r="J2628" s="3"/>
      <c r="K2628" s="3"/>
      <c r="L2628" s="3"/>
      <c r="M2628" s="3"/>
      <c r="N2628" s="3"/>
    </row>
    <row r="2629" spans="1:14" ht="16.5" customHeight="1">
      <c r="A2629" s="3"/>
      <c r="B2629" s="3"/>
      <c r="C2629" s="3"/>
      <c r="D2629" s="3"/>
      <c r="E2629" s="3"/>
      <c r="F2629" s="3"/>
      <c r="G2629" s="3"/>
      <c r="H2629" s="3"/>
      <c r="I2629" s="3"/>
      <c r="J2629" s="3"/>
      <c r="K2629" s="3"/>
      <c r="L2629" s="3"/>
      <c r="M2629" s="3"/>
      <c r="N2629" s="3"/>
    </row>
    <row r="2630" spans="1:14" ht="16.5" customHeight="1">
      <c r="A2630" s="3"/>
      <c r="B2630" s="3"/>
      <c r="C2630" s="3"/>
      <c r="D2630" s="3"/>
      <c r="E2630" s="3"/>
      <c r="F2630" s="3"/>
      <c r="G2630" s="3"/>
      <c r="H2630" s="3"/>
      <c r="I2630" s="3"/>
      <c r="J2630" s="3"/>
      <c r="K2630" s="3"/>
      <c r="L2630" s="3"/>
      <c r="M2630" s="3"/>
      <c r="N2630" s="3"/>
    </row>
    <row r="2631" spans="1:14" ht="16.5" customHeight="1">
      <c r="A2631" s="3"/>
      <c r="B2631" s="3"/>
      <c r="C2631" s="3"/>
      <c r="D2631" s="3"/>
      <c r="E2631" s="3"/>
      <c r="F2631" s="3"/>
      <c r="G2631" s="3"/>
      <c r="H2631" s="3"/>
      <c r="I2631" s="3"/>
      <c r="J2631" s="3"/>
      <c r="K2631" s="3"/>
      <c r="L2631" s="3"/>
      <c r="M2631" s="3"/>
      <c r="N2631" s="3"/>
    </row>
    <row r="2632" spans="1:14" ht="16.5" customHeight="1">
      <c r="A2632" s="3"/>
      <c r="B2632" s="3"/>
      <c r="C2632" s="3"/>
      <c r="D2632" s="3"/>
      <c r="E2632" s="3"/>
      <c r="F2632" s="3"/>
      <c r="G2632" s="3"/>
      <c r="H2632" s="3"/>
      <c r="I2632" s="3"/>
      <c r="J2632" s="3"/>
      <c r="K2632" s="3"/>
      <c r="L2632" s="3"/>
      <c r="M2632" s="3"/>
      <c r="N2632" s="3"/>
    </row>
    <row r="2633" spans="1:14" ht="16.5" customHeight="1">
      <c r="A2633" s="3"/>
      <c r="B2633" s="3"/>
      <c r="C2633" s="3"/>
      <c r="D2633" s="3"/>
      <c r="E2633" s="3"/>
      <c r="F2633" s="3"/>
      <c r="G2633" s="3"/>
      <c r="H2633" s="3"/>
      <c r="I2633" s="3"/>
      <c r="J2633" s="3"/>
      <c r="K2633" s="3"/>
      <c r="L2633" s="3"/>
      <c r="M2633" s="3"/>
      <c r="N2633" s="3"/>
    </row>
    <row r="2634" spans="1:14" ht="16.5" customHeight="1">
      <c r="A2634" s="3"/>
      <c r="B2634" s="3"/>
      <c r="C2634" s="3"/>
      <c r="D2634" s="3"/>
      <c r="E2634" s="3"/>
      <c r="F2634" s="3"/>
      <c r="G2634" s="3"/>
      <c r="H2634" s="3"/>
      <c r="I2634" s="3"/>
      <c r="J2634" s="3"/>
      <c r="K2634" s="3"/>
      <c r="L2634" s="3"/>
      <c r="M2634" s="3"/>
      <c r="N2634" s="3"/>
    </row>
    <row r="2635" spans="1:14" ht="16.5" customHeight="1">
      <c r="A2635" s="3"/>
      <c r="B2635" s="3"/>
      <c r="C2635" s="3"/>
      <c r="D2635" s="3"/>
      <c r="E2635" s="3"/>
      <c r="F2635" s="3"/>
      <c r="G2635" s="3"/>
      <c r="H2635" s="3"/>
      <c r="I2635" s="3"/>
      <c r="J2635" s="3"/>
      <c r="K2635" s="3"/>
      <c r="L2635" s="3"/>
      <c r="M2635" s="3"/>
      <c r="N2635" s="3"/>
    </row>
    <row r="2636" spans="1:14" ht="16.5" customHeight="1">
      <c r="A2636" s="3"/>
      <c r="B2636" s="3"/>
      <c r="C2636" s="3"/>
      <c r="D2636" s="3"/>
      <c r="E2636" s="3"/>
      <c r="F2636" s="3"/>
      <c r="G2636" s="3"/>
      <c r="H2636" s="3"/>
      <c r="I2636" s="3"/>
      <c r="J2636" s="3"/>
      <c r="K2636" s="3"/>
      <c r="L2636" s="3"/>
      <c r="M2636" s="3"/>
      <c r="N2636" s="3"/>
    </row>
    <row r="2637" spans="1:14" ht="16.5" customHeight="1">
      <c r="A2637" s="3"/>
      <c r="B2637" s="3"/>
      <c r="C2637" s="3"/>
      <c r="D2637" s="3"/>
      <c r="E2637" s="3"/>
      <c r="F2637" s="3"/>
      <c r="G2637" s="3"/>
      <c r="H2637" s="3"/>
      <c r="I2637" s="3"/>
      <c r="J2637" s="3"/>
      <c r="K2637" s="3"/>
      <c r="L2637" s="3"/>
      <c r="M2637" s="3"/>
      <c r="N2637" s="3"/>
    </row>
    <row r="2638" spans="1:14" ht="16.5" customHeight="1">
      <c r="A2638" s="3"/>
      <c r="B2638" s="3"/>
      <c r="C2638" s="3"/>
      <c r="D2638" s="3"/>
      <c r="E2638" s="3"/>
      <c r="F2638" s="3"/>
      <c r="G2638" s="3"/>
      <c r="H2638" s="3"/>
      <c r="I2638" s="3"/>
      <c r="J2638" s="3"/>
      <c r="K2638" s="3"/>
      <c r="L2638" s="3"/>
      <c r="M2638" s="3"/>
      <c r="N2638" s="3"/>
    </row>
    <row r="2639" spans="1:14" ht="16.5" customHeight="1">
      <c r="A2639" s="3"/>
      <c r="B2639" s="3"/>
      <c r="C2639" s="3"/>
      <c r="D2639" s="3"/>
      <c r="E2639" s="3"/>
      <c r="F2639" s="3"/>
      <c r="G2639" s="3"/>
      <c r="H2639" s="3"/>
      <c r="I2639" s="3"/>
      <c r="J2639" s="3"/>
      <c r="K2639" s="3"/>
      <c r="L2639" s="3"/>
      <c r="M2639" s="3"/>
      <c r="N2639" s="3"/>
    </row>
    <row r="2640" spans="1:14" ht="16.5" customHeight="1">
      <c r="A2640" s="3"/>
      <c r="B2640" s="3"/>
      <c r="C2640" s="3"/>
      <c r="D2640" s="3"/>
      <c r="E2640" s="3"/>
      <c r="F2640" s="3"/>
      <c r="G2640" s="3"/>
      <c r="H2640" s="3"/>
      <c r="I2640" s="3"/>
      <c r="J2640" s="3"/>
      <c r="K2640" s="3"/>
      <c r="L2640" s="3"/>
      <c r="M2640" s="3"/>
      <c r="N2640" s="3"/>
    </row>
    <row r="2641" spans="1:14" ht="16.5" customHeight="1">
      <c r="A2641" s="3"/>
      <c r="B2641" s="3"/>
      <c r="C2641" s="3"/>
      <c r="D2641" s="3"/>
      <c r="E2641" s="3"/>
      <c r="F2641" s="3"/>
      <c r="G2641" s="3"/>
      <c r="H2641" s="3"/>
      <c r="I2641" s="3"/>
      <c r="J2641" s="3"/>
      <c r="K2641" s="3"/>
      <c r="L2641" s="3"/>
      <c r="M2641" s="3"/>
      <c r="N2641" s="3"/>
    </row>
    <row r="2642" spans="1:14" ht="16.5" customHeight="1">
      <c r="A2642" s="3"/>
      <c r="B2642" s="3"/>
      <c r="C2642" s="3"/>
      <c r="D2642" s="3"/>
      <c r="E2642" s="3"/>
      <c r="F2642" s="3"/>
      <c r="G2642" s="3"/>
      <c r="H2642" s="3"/>
      <c r="I2642" s="3"/>
      <c r="J2642" s="3"/>
      <c r="K2642" s="3"/>
      <c r="L2642" s="3"/>
      <c r="M2642" s="3"/>
      <c r="N2642" s="3"/>
    </row>
    <row r="2643" spans="1:14" ht="16.5" customHeight="1">
      <c r="A2643" s="3"/>
      <c r="B2643" s="3"/>
      <c r="C2643" s="3"/>
      <c r="D2643" s="3"/>
      <c r="E2643" s="3"/>
      <c r="F2643" s="3"/>
      <c r="G2643" s="3"/>
      <c r="H2643" s="3"/>
      <c r="I2643" s="3"/>
      <c r="J2643" s="3"/>
      <c r="K2643" s="3"/>
      <c r="L2643" s="3"/>
      <c r="M2643" s="3"/>
      <c r="N2643" s="3"/>
    </row>
    <row r="2644" spans="1:14" ht="16.5" customHeight="1">
      <c r="A2644" s="3"/>
      <c r="B2644" s="3"/>
      <c r="C2644" s="3"/>
      <c r="D2644" s="3"/>
      <c r="E2644" s="3"/>
      <c r="F2644" s="3"/>
      <c r="G2644" s="3"/>
      <c r="H2644" s="3"/>
      <c r="I2644" s="3"/>
      <c r="J2644" s="3"/>
      <c r="K2644" s="3"/>
      <c r="L2644" s="3"/>
      <c r="M2644" s="3"/>
      <c r="N2644" s="3"/>
    </row>
    <row r="2645" spans="1:14" ht="16.5" customHeight="1">
      <c r="A2645" s="3"/>
      <c r="B2645" s="3"/>
      <c r="C2645" s="3"/>
      <c r="D2645" s="3"/>
      <c r="E2645" s="3"/>
      <c r="F2645" s="3"/>
      <c r="G2645" s="3"/>
      <c r="H2645" s="3"/>
      <c r="I2645" s="3"/>
      <c r="J2645" s="3"/>
      <c r="K2645" s="3"/>
      <c r="L2645" s="3"/>
      <c r="M2645" s="3"/>
      <c r="N2645" s="3"/>
    </row>
    <row r="2646" spans="1:14" ht="16.5" customHeight="1">
      <c r="A2646" s="3"/>
      <c r="B2646" s="3"/>
      <c r="C2646" s="3"/>
      <c r="D2646" s="3"/>
      <c r="E2646" s="3"/>
      <c r="F2646" s="3"/>
      <c r="G2646" s="3"/>
      <c r="H2646" s="3"/>
      <c r="I2646" s="3"/>
      <c r="J2646" s="3"/>
      <c r="K2646" s="3"/>
      <c r="L2646" s="3"/>
      <c r="M2646" s="3"/>
      <c r="N2646" s="3"/>
    </row>
    <row r="2647" spans="1:14" ht="16.5" customHeight="1">
      <c r="A2647" s="3"/>
      <c r="B2647" s="3"/>
      <c r="C2647" s="3"/>
      <c r="D2647" s="3"/>
      <c r="E2647" s="3"/>
      <c r="F2647" s="3"/>
      <c r="G2647" s="3"/>
      <c r="H2647" s="3"/>
      <c r="I2647" s="3"/>
      <c r="J2647" s="3"/>
      <c r="K2647" s="3"/>
      <c r="L2647" s="3"/>
      <c r="M2647" s="3"/>
      <c r="N2647" s="3"/>
    </row>
    <row r="2648" spans="1:14" ht="16.5" customHeight="1">
      <c r="A2648" s="3"/>
      <c r="B2648" s="3"/>
      <c r="C2648" s="3"/>
      <c r="D2648" s="3"/>
      <c r="E2648" s="3"/>
      <c r="F2648" s="3"/>
      <c r="G2648" s="3"/>
      <c r="H2648" s="3"/>
      <c r="I2648" s="3"/>
      <c r="J2648" s="3"/>
      <c r="K2648" s="3"/>
      <c r="L2648" s="3"/>
      <c r="M2648" s="3"/>
      <c r="N2648" s="3"/>
    </row>
    <row r="2649" spans="1:14" ht="16.5" customHeight="1">
      <c r="A2649" s="3"/>
      <c r="B2649" s="3"/>
      <c r="C2649" s="3"/>
      <c r="D2649" s="3"/>
      <c r="E2649" s="3"/>
      <c r="F2649" s="3"/>
      <c r="G2649" s="3"/>
      <c r="H2649" s="3"/>
      <c r="I2649" s="3"/>
      <c r="J2649" s="3"/>
      <c r="K2649" s="3"/>
      <c r="L2649" s="3"/>
      <c r="M2649" s="3"/>
      <c r="N2649" s="3"/>
    </row>
    <row r="2650" spans="1:14" ht="16.5" customHeight="1">
      <c r="A2650" s="3"/>
      <c r="B2650" s="3"/>
      <c r="C2650" s="3"/>
      <c r="D2650" s="3"/>
      <c r="E2650" s="3"/>
      <c r="F2650" s="3"/>
      <c r="G2650" s="3"/>
      <c r="H2650" s="3"/>
      <c r="I2650" s="3"/>
      <c r="J2650" s="3"/>
      <c r="K2650" s="3"/>
      <c r="L2650" s="3"/>
      <c r="M2650" s="3"/>
      <c r="N2650" s="3"/>
    </row>
    <row r="2651" spans="1:14" ht="16.5" customHeight="1">
      <c r="A2651" s="3"/>
      <c r="B2651" s="3"/>
      <c r="C2651" s="3"/>
      <c r="D2651" s="3"/>
      <c r="E2651" s="3"/>
      <c r="F2651" s="3"/>
      <c r="G2651" s="3"/>
      <c r="H2651" s="3"/>
      <c r="I2651" s="3"/>
      <c r="J2651" s="3"/>
      <c r="K2651" s="3"/>
      <c r="L2651" s="3"/>
      <c r="M2651" s="3"/>
      <c r="N2651" s="3"/>
    </row>
    <row r="2652" spans="1:14" ht="16.5" customHeight="1">
      <c r="A2652" s="3"/>
      <c r="B2652" s="3"/>
      <c r="C2652" s="3"/>
      <c r="D2652" s="3"/>
      <c r="E2652" s="3"/>
      <c r="F2652" s="3"/>
      <c r="G2652" s="3"/>
      <c r="H2652" s="3"/>
      <c r="I2652" s="3"/>
      <c r="J2652" s="3"/>
      <c r="K2652" s="3"/>
      <c r="L2652" s="3"/>
      <c r="M2652" s="3"/>
      <c r="N2652" s="3"/>
    </row>
    <row r="2653" spans="1:14" ht="16.5" customHeight="1">
      <c r="A2653" s="3"/>
      <c r="B2653" s="3"/>
      <c r="C2653" s="3"/>
      <c r="D2653" s="3"/>
      <c r="E2653" s="3"/>
      <c r="F2653" s="3"/>
      <c r="G2653" s="3"/>
      <c r="H2653" s="3"/>
      <c r="I2653" s="3"/>
      <c r="J2653" s="3"/>
      <c r="K2653" s="3"/>
      <c r="L2653" s="3"/>
      <c r="M2653" s="3"/>
      <c r="N2653" s="3"/>
    </row>
    <row r="2654" spans="1:14" ht="16.5" customHeight="1">
      <c r="A2654" s="3"/>
      <c r="B2654" s="3"/>
      <c r="C2654" s="3"/>
      <c r="D2654" s="3"/>
      <c r="E2654" s="3"/>
      <c r="F2654" s="3"/>
      <c r="G2654" s="3"/>
      <c r="H2654" s="3"/>
      <c r="I2654" s="3"/>
      <c r="J2654" s="3"/>
      <c r="K2654" s="3"/>
      <c r="L2654" s="3"/>
      <c r="M2654" s="3"/>
      <c r="N2654" s="3"/>
    </row>
    <row r="2655" spans="1:14" ht="16.5" customHeight="1">
      <c r="A2655" s="3"/>
      <c r="B2655" s="3"/>
      <c r="C2655" s="3"/>
      <c r="D2655" s="3"/>
      <c r="E2655" s="3"/>
      <c r="F2655" s="3"/>
      <c r="G2655" s="3"/>
      <c r="H2655" s="3"/>
      <c r="I2655" s="3"/>
      <c r="J2655" s="3"/>
      <c r="K2655" s="3"/>
      <c r="L2655" s="3"/>
      <c r="M2655" s="3"/>
      <c r="N2655" s="3"/>
    </row>
    <row r="2656" spans="1:14" ht="16.5" customHeight="1">
      <c r="A2656" s="3"/>
      <c r="B2656" s="3"/>
      <c r="C2656" s="3"/>
      <c r="D2656" s="3"/>
      <c r="E2656" s="3"/>
      <c r="F2656" s="3"/>
      <c r="G2656" s="3"/>
      <c r="H2656" s="3"/>
      <c r="I2656" s="3"/>
      <c r="J2656" s="3"/>
      <c r="K2656" s="3"/>
      <c r="L2656" s="3"/>
      <c r="M2656" s="3"/>
      <c r="N2656" s="3"/>
    </row>
    <row r="2657" spans="1:14" ht="16.5" customHeight="1">
      <c r="A2657" s="3"/>
      <c r="B2657" s="3"/>
      <c r="C2657" s="3"/>
      <c r="D2657" s="3"/>
      <c r="E2657" s="3"/>
      <c r="F2657" s="3"/>
      <c r="G2657" s="3"/>
      <c r="H2657" s="3"/>
      <c r="I2657" s="3"/>
      <c r="J2657" s="3"/>
      <c r="K2657" s="3"/>
      <c r="L2657" s="3"/>
      <c r="M2657" s="3"/>
      <c r="N2657" s="3"/>
    </row>
    <row r="2658" spans="1:14" ht="16.5" customHeight="1">
      <c r="A2658" s="3"/>
      <c r="B2658" s="3"/>
      <c r="C2658" s="3"/>
      <c r="D2658" s="3"/>
      <c r="E2658" s="3"/>
      <c r="F2658" s="3"/>
      <c r="G2658" s="3"/>
      <c r="H2658" s="3"/>
      <c r="I2658" s="3"/>
      <c r="J2658" s="3"/>
      <c r="K2658" s="3"/>
      <c r="L2658" s="3"/>
      <c r="M2658" s="3"/>
      <c r="N2658" s="3"/>
    </row>
    <row r="2659" spans="1:14" ht="16.5" customHeight="1">
      <c r="A2659" s="3"/>
      <c r="B2659" s="3"/>
      <c r="C2659" s="3"/>
      <c r="D2659" s="3"/>
      <c r="E2659" s="3"/>
      <c r="F2659" s="3"/>
      <c r="G2659" s="3"/>
      <c r="H2659" s="3"/>
      <c r="I2659" s="3"/>
      <c r="J2659" s="3"/>
      <c r="K2659" s="3"/>
      <c r="L2659" s="3"/>
      <c r="M2659" s="3"/>
      <c r="N2659" s="3"/>
    </row>
    <row r="2660" spans="1:14" ht="16.5" customHeight="1">
      <c r="A2660" s="3"/>
      <c r="B2660" s="3"/>
      <c r="C2660" s="3"/>
      <c r="D2660" s="3"/>
      <c r="E2660" s="3"/>
      <c r="F2660" s="3"/>
      <c r="G2660" s="3"/>
      <c r="H2660" s="3"/>
      <c r="I2660" s="3"/>
      <c r="J2660" s="3"/>
      <c r="K2660" s="3"/>
      <c r="L2660" s="3"/>
      <c r="M2660" s="3"/>
      <c r="N2660" s="3"/>
    </row>
    <row r="2661" spans="1:14" ht="16.5" customHeight="1">
      <c r="A2661" s="3"/>
      <c r="B2661" s="3"/>
      <c r="C2661" s="3"/>
      <c r="D2661" s="3"/>
      <c r="E2661" s="3"/>
      <c r="F2661" s="3"/>
      <c r="G2661" s="3"/>
      <c r="H2661" s="3"/>
      <c r="I2661" s="3"/>
      <c r="J2661" s="3"/>
      <c r="K2661" s="3"/>
      <c r="L2661" s="3"/>
      <c r="M2661" s="3"/>
      <c r="N2661" s="3"/>
    </row>
    <row r="2662" spans="1:14" ht="16.5" customHeight="1">
      <c r="A2662" s="3"/>
      <c r="B2662" s="3"/>
      <c r="C2662" s="3"/>
      <c r="D2662" s="3"/>
      <c r="E2662" s="3"/>
      <c r="F2662" s="3"/>
      <c r="G2662" s="3"/>
      <c r="H2662" s="3"/>
      <c r="I2662" s="3"/>
      <c r="J2662" s="3"/>
      <c r="K2662" s="3"/>
      <c r="L2662" s="3"/>
      <c r="M2662" s="3"/>
      <c r="N2662" s="3"/>
    </row>
    <row r="2663" spans="1:14" ht="16.5" customHeight="1">
      <c r="A2663" s="3"/>
      <c r="B2663" s="3"/>
      <c r="C2663" s="3"/>
      <c r="D2663" s="3"/>
      <c r="E2663" s="3"/>
      <c r="F2663" s="3"/>
      <c r="G2663" s="3"/>
      <c r="H2663" s="3"/>
      <c r="I2663" s="3"/>
      <c r="J2663" s="3"/>
      <c r="K2663" s="3"/>
      <c r="L2663" s="3"/>
      <c r="M2663" s="3"/>
      <c r="N2663" s="3"/>
    </row>
    <row r="2664" spans="1:14" ht="16.5" customHeight="1">
      <c r="A2664" s="3"/>
      <c r="B2664" s="3"/>
      <c r="C2664" s="3"/>
      <c r="D2664" s="3"/>
      <c r="E2664" s="3"/>
      <c r="F2664" s="3"/>
      <c r="G2664" s="3"/>
      <c r="H2664" s="3"/>
      <c r="I2664" s="3"/>
      <c r="J2664" s="3"/>
      <c r="K2664" s="3"/>
      <c r="L2664" s="3"/>
      <c r="M2664" s="3"/>
      <c r="N2664" s="3"/>
    </row>
    <row r="2665" spans="1:14" ht="16.5" customHeight="1">
      <c r="A2665" s="3"/>
      <c r="B2665" s="3"/>
      <c r="C2665" s="3"/>
      <c r="D2665" s="3"/>
      <c r="E2665" s="3"/>
      <c r="F2665" s="3"/>
      <c r="G2665" s="3"/>
      <c r="H2665" s="3"/>
      <c r="I2665" s="3"/>
      <c r="J2665" s="3"/>
      <c r="K2665" s="3"/>
      <c r="L2665" s="3"/>
      <c r="M2665" s="3"/>
      <c r="N2665" s="3"/>
    </row>
    <row r="2666" spans="1:14" ht="16.5" customHeight="1">
      <c r="A2666" s="3"/>
      <c r="B2666" s="3"/>
      <c r="C2666" s="3"/>
      <c r="D2666" s="3"/>
      <c r="E2666" s="3"/>
      <c r="F2666" s="3"/>
      <c r="G2666" s="3"/>
      <c r="H2666" s="3"/>
      <c r="I2666" s="3"/>
      <c r="J2666" s="3"/>
      <c r="K2666" s="3"/>
      <c r="L2666" s="3"/>
      <c r="M2666" s="3"/>
      <c r="N2666" s="3"/>
    </row>
    <row r="2667" spans="1:14" ht="16.5" customHeight="1">
      <c r="A2667" s="3"/>
      <c r="B2667" s="3"/>
      <c r="C2667" s="3"/>
      <c r="D2667" s="3"/>
      <c r="E2667" s="3"/>
      <c r="F2667" s="3"/>
      <c r="G2667" s="3"/>
      <c r="H2667" s="3"/>
      <c r="I2667" s="3"/>
      <c r="J2667" s="3"/>
      <c r="K2667" s="3"/>
      <c r="L2667" s="3"/>
      <c r="M2667" s="3"/>
      <c r="N2667" s="3"/>
    </row>
    <row r="2668" spans="1:14" ht="16.5" customHeight="1">
      <c r="A2668" s="3"/>
      <c r="B2668" s="3"/>
      <c r="C2668" s="3"/>
      <c r="D2668" s="3"/>
      <c r="E2668" s="3"/>
      <c r="F2668" s="3"/>
      <c r="G2668" s="3"/>
      <c r="H2668" s="3"/>
      <c r="I2668" s="3"/>
      <c r="J2668" s="3"/>
      <c r="K2668" s="3"/>
      <c r="L2668" s="3"/>
      <c r="M2668" s="3"/>
      <c r="N2668" s="3"/>
    </row>
    <row r="2669" spans="1:14" ht="16.5" customHeight="1">
      <c r="A2669" s="3"/>
      <c r="B2669" s="3"/>
      <c r="C2669" s="3"/>
      <c r="D2669" s="3"/>
      <c r="E2669" s="3"/>
      <c r="F2669" s="3"/>
      <c r="G2669" s="3"/>
      <c r="H2669" s="3"/>
      <c r="I2669" s="3"/>
      <c r="J2669" s="3"/>
      <c r="K2669" s="3"/>
      <c r="L2669" s="3"/>
      <c r="M2669" s="3"/>
      <c r="N2669" s="3"/>
    </row>
    <row r="2670" spans="1:14" ht="16.5" customHeight="1">
      <c r="A2670" s="3"/>
      <c r="B2670" s="3"/>
      <c r="C2670" s="3"/>
      <c r="D2670" s="3"/>
      <c r="E2670" s="3"/>
      <c r="F2670" s="3"/>
      <c r="G2670" s="3"/>
      <c r="H2670" s="3"/>
      <c r="I2670" s="3"/>
      <c r="J2670" s="3"/>
      <c r="K2670" s="3"/>
      <c r="L2670" s="3"/>
      <c r="M2670" s="3"/>
      <c r="N2670" s="3"/>
    </row>
    <row r="2671" spans="1:14" ht="16.5" customHeight="1">
      <c r="A2671" s="3"/>
      <c r="B2671" s="3"/>
      <c r="C2671" s="3"/>
      <c r="D2671" s="3"/>
      <c r="E2671" s="3"/>
      <c r="F2671" s="3"/>
      <c r="G2671" s="3"/>
      <c r="H2671" s="3"/>
      <c r="I2671" s="3"/>
      <c r="J2671" s="3"/>
      <c r="K2671" s="3"/>
      <c r="L2671" s="3"/>
      <c r="M2671" s="3"/>
      <c r="N2671" s="3"/>
    </row>
    <row r="2672" spans="1:14" ht="16.5" customHeight="1">
      <c r="A2672" s="3"/>
      <c r="B2672" s="3"/>
      <c r="C2672" s="3"/>
      <c r="D2672" s="3"/>
      <c r="E2672" s="3"/>
      <c r="F2672" s="3"/>
      <c r="G2672" s="3"/>
      <c r="H2672" s="3"/>
      <c r="I2672" s="3"/>
      <c r="J2672" s="3"/>
      <c r="K2672" s="3"/>
      <c r="L2672" s="3"/>
      <c r="M2672" s="3"/>
      <c r="N2672" s="3"/>
    </row>
    <row r="2673" spans="1:14" ht="16.5" customHeight="1">
      <c r="A2673" s="3"/>
      <c r="B2673" s="3"/>
      <c r="C2673" s="3"/>
      <c r="D2673" s="3"/>
      <c r="E2673" s="3"/>
      <c r="F2673" s="3"/>
      <c r="G2673" s="3"/>
      <c r="H2673" s="3"/>
      <c r="I2673" s="3"/>
      <c r="J2673" s="3"/>
      <c r="K2673" s="3"/>
      <c r="L2673" s="3"/>
      <c r="M2673" s="3"/>
      <c r="N2673" s="3"/>
    </row>
    <row r="2674" spans="1:14" ht="16.5" customHeight="1">
      <c r="A2674" s="3"/>
      <c r="B2674" s="3"/>
      <c r="C2674" s="3"/>
      <c r="D2674" s="3"/>
      <c r="E2674" s="3"/>
      <c r="F2674" s="3"/>
      <c r="G2674" s="3"/>
      <c r="H2674" s="3"/>
      <c r="I2674" s="3"/>
      <c r="J2674" s="3"/>
      <c r="K2674" s="3"/>
      <c r="L2674" s="3"/>
      <c r="M2674" s="3"/>
      <c r="N2674" s="3"/>
    </row>
    <row r="2675" spans="1:14" ht="16.5" customHeight="1">
      <c r="A2675" s="3"/>
      <c r="B2675" s="3"/>
      <c r="C2675" s="3"/>
      <c r="D2675" s="3"/>
      <c r="E2675" s="3"/>
      <c r="F2675" s="3"/>
      <c r="G2675" s="3"/>
      <c r="H2675" s="3"/>
      <c r="I2675" s="3"/>
      <c r="J2675" s="3"/>
      <c r="K2675" s="3"/>
      <c r="L2675" s="3"/>
      <c r="M2675" s="3"/>
      <c r="N2675" s="3"/>
    </row>
    <row r="2676" spans="1:14" ht="16.5" customHeight="1">
      <c r="A2676" s="3"/>
      <c r="B2676" s="3"/>
      <c r="C2676" s="3"/>
      <c r="D2676" s="3"/>
      <c r="E2676" s="3"/>
      <c r="F2676" s="3"/>
      <c r="G2676" s="3"/>
      <c r="H2676" s="3"/>
      <c r="I2676" s="3"/>
      <c r="J2676" s="3"/>
      <c r="K2676" s="3"/>
      <c r="L2676" s="3"/>
      <c r="M2676" s="3"/>
      <c r="N2676" s="3"/>
    </row>
    <row r="2677" spans="1:14" ht="16.5" customHeight="1">
      <c r="A2677" s="3"/>
      <c r="B2677" s="3"/>
      <c r="C2677" s="3"/>
      <c r="D2677" s="3"/>
      <c r="E2677" s="3"/>
      <c r="F2677" s="3"/>
      <c r="G2677" s="3"/>
      <c r="H2677" s="3"/>
      <c r="I2677" s="3"/>
      <c r="J2677" s="3"/>
      <c r="K2677" s="3"/>
      <c r="L2677" s="3"/>
      <c r="M2677" s="3"/>
      <c r="N2677" s="3"/>
    </row>
    <row r="2678" spans="1:14" ht="16.5" customHeight="1">
      <c r="A2678" s="3"/>
      <c r="B2678" s="3"/>
      <c r="C2678" s="3"/>
      <c r="D2678" s="3"/>
      <c r="E2678" s="3"/>
      <c r="F2678" s="3"/>
      <c r="G2678" s="3"/>
      <c r="H2678" s="3"/>
      <c r="I2678" s="3"/>
      <c r="J2678" s="3"/>
      <c r="K2678" s="3"/>
      <c r="L2678" s="3"/>
      <c r="M2678" s="3"/>
      <c r="N2678" s="3"/>
    </row>
    <row r="2679" spans="1:14" ht="16.5" customHeight="1">
      <c r="A2679" s="3"/>
      <c r="B2679" s="3"/>
      <c r="C2679" s="3"/>
      <c r="D2679" s="3"/>
      <c r="E2679" s="3"/>
      <c r="F2679" s="3"/>
      <c r="G2679" s="3"/>
      <c r="H2679" s="3"/>
      <c r="I2679" s="3"/>
      <c r="J2679" s="3"/>
      <c r="K2679" s="3"/>
      <c r="L2679" s="3"/>
      <c r="M2679" s="3"/>
      <c r="N2679" s="3"/>
    </row>
    <row r="2680" spans="1:14" ht="16.5" customHeight="1">
      <c r="A2680" s="3"/>
      <c r="B2680" s="3"/>
      <c r="C2680" s="3"/>
      <c r="D2680" s="3"/>
      <c r="E2680" s="3"/>
      <c r="F2680" s="3"/>
      <c r="G2680" s="3"/>
      <c r="H2680" s="3"/>
      <c r="I2680" s="3"/>
      <c r="J2680" s="3"/>
      <c r="K2680" s="3"/>
      <c r="L2680" s="3"/>
      <c r="M2680" s="3"/>
      <c r="N2680" s="3"/>
    </row>
    <row r="2681" spans="1:14" ht="16.5" customHeight="1">
      <c r="A2681" s="3"/>
      <c r="B2681" s="3"/>
      <c r="C2681" s="3"/>
      <c r="D2681" s="3"/>
      <c r="E2681" s="3"/>
      <c r="F2681" s="3"/>
      <c r="G2681" s="3"/>
      <c r="H2681" s="3"/>
      <c r="I2681" s="3"/>
      <c r="J2681" s="3"/>
      <c r="K2681" s="3"/>
      <c r="L2681" s="3"/>
      <c r="M2681" s="3"/>
      <c r="N2681" s="3"/>
    </row>
    <row r="2682" spans="1:14" ht="16.5" customHeight="1">
      <c r="A2682" s="3"/>
      <c r="B2682" s="3"/>
      <c r="C2682" s="3"/>
      <c r="D2682" s="3"/>
      <c r="E2682" s="3"/>
      <c r="F2682" s="3"/>
      <c r="G2682" s="3"/>
      <c r="H2682" s="3"/>
      <c r="I2682" s="3"/>
      <c r="J2682" s="3"/>
      <c r="K2682" s="3"/>
      <c r="L2682" s="3"/>
      <c r="M2682" s="3"/>
      <c r="N2682" s="3"/>
    </row>
    <row r="2683" spans="1:14" ht="16.5" customHeight="1">
      <c r="A2683" s="3"/>
      <c r="B2683" s="3"/>
      <c r="C2683" s="3"/>
      <c r="D2683" s="3"/>
      <c r="E2683" s="3"/>
      <c r="F2683" s="3"/>
      <c r="G2683" s="3"/>
      <c r="H2683" s="3"/>
      <c r="I2683" s="3"/>
      <c r="J2683" s="3"/>
      <c r="K2683" s="3"/>
      <c r="L2683" s="3"/>
      <c r="M2683" s="3"/>
      <c r="N2683" s="3"/>
    </row>
    <row r="2684" spans="1:14" ht="16.5" customHeight="1">
      <c r="A2684" s="3"/>
      <c r="B2684" s="3"/>
      <c r="C2684" s="3"/>
      <c r="D2684" s="3"/>
      <c r="E2684" s="3"/>
      <c r="F2684" s="3"/>
      <c r="G2684" s="3"/>
      <c r="H2684" s="3"/>
      <c r="I2684" s="3"/>
      <c r="J2684" s="3"/>
      <c r="K2684" s="3"/>
      <c r="L2684" s="3"/>
      <c r="M2684" s="3"/>
      <c r="N2684" s="3"/>
    </row>
    <row r="2685" spans="1:14" ht="16.5" customHeight="1">
      <c r="A2685" s="3"/>
      <c r="B2685" s="3"/>
      <c r="C2685" s="3"/>
      <c r="D2685" s="3"/>
      <c r="E2685" s="3"/>
      <c r="F2685" s="3"/>
      <c r="G2685" s="3"/>
      <c r="H2685" s="3"/>
      <c r="I2685" s="3"/>
      <c r="J2685" s="3"/>
      <c r="K2685" s="3"/>
      <c r="L2685" s="3"/>
      <c r="M2685" s="3"/>
      <c r="N2685" s="3"/>
    </row>
    <row r="2686" spans="1:14" ht="16.5" customHeight="1">
      <c r="A2686" s="3"/>
      <c r="B2686" s="3"/>
      <c r="C2686" s="3"/>
      <c r="D2686" s="3"/>
      <c r="E2686" s="3"/>
      <c r="F2686" s="3"/>
      <c r="G2686" s="3"/>
      <c r="H2686" s="3"/>
      <c r="I2686" s="3"/>
      <c r="J2686" s="3"/>
      <c r="K2686" s="3"/>
      <c r="L2686" s="3"/>
      <c r="M2686" s="3"/>
      <c r="N2686" s="3"/>
    </row>
    <row r="2687" spans="1:14" ht="16.5" customHeight="1">
      <c r="A2687" s="3"/>
      <c r="B2687" s="3"/>
      <c r="C2687" s="3"/>
      <c r="D2687" s="3"/>
      <c r="E2687" s="3"/>
      <c r="F2687" s="3"/>
      <c r="G2687" s="3"/>
      <c r="H2687" s="3"/>
      <c r="I2687" s="3"/>
      <c r="J2687" s="3"/>
      <c r="K2687" s="3"/>
      <c r="L2687" s="3"/>
      <c r="M2687" s="3"/>
      <c r="N2687" s="3"/>
    </row>
    <row r="2688" spans="1:14" ht="16.5" customHeight="1">
      <c r="A2688" s="3"/>
      <c r="B2688" s="3"/>
      <c r="C2688" s="3"/>
      <c r="D2688" s="3"/>
      <c r="E2688" s="3"/>
      <c r="F2688" s="3"/>
      <c r="G2688" s="3"/>
      <c r="H2688" s="3"/>
      <c r="I2688" s="3"/>
      <c r="J2688" s="3"/>
      <c r="K2688" s="3"/>
      <c r="L2688" s="3"/>
      <c r="M2688" s="3"/>
      <c r="N2688" s="3"/>
    </row>
    <row r="2689" spans="1:14" ht="16.5" customHeight="1">
      <c r="A2689" s="3"/>
      <c r="B2689" s="3"/>
      <c r="C2689" s="3"/>
      <c r="D2689" s="3"/>
      <c r="E2689" s="3"/>
      <c r="F2689" s="3"/>
      <c r="G2689" s="3"/>
      <c r="H2689" s="3"/>
      <c r="I2689" s="3"/>
      <c r="J2689" s="3"/>
      <c r="K2689" s="3"/>
      <c r="L2689" s="3"/>
      <c r="M2689" s="3"/>
      <c r="N2689" s="3"/>
    </row>
    <row r="2690" spans="1:14" ht="16.5" customHeight="1">
      <c r="A2690" s="3"/>
      <c r="B2690" s="3"/>
      <c r="C2690" s="3"/>
      <c r="D2690" s="3"/>
      <c r="E2690" s="3"/>
      <c r="F2690" s="3"/>
      <c r="G2690" s="3"/>
      <c r="H2690" s="3"/>
      <c r="I2690" s="3"/>
      <c r="J2690" s="3"/>
      <c r="K2690" s="3"/>
      <c r="L2690" s="3"/>
      <c r="M2690" s="3"/>
      <c r="N2690" s="3"/>
    </row>
    <row r="2691" spans="1:14" ht="16.5" customHeight="1">
      <c r="A2691" s="3"/>
      <c r="B2691" s="3"/>
      <c r="C2691" s="3"/>
      <c r="D2691" s="3"/>
      <c r="E2691" s="3"/>
      <c r="F2691" s="3"/>
      <c r="G2691" s="3"/>
      <c r="H2691" s="3"/>
      <c r="I2691" s="3"/>
      <c r="J2691" s="3"/>
      <c r="K2691" s="3"/>
      <c r="L2691" s="3"/>
      <c r="M2691" s="3"/>
      <c r="N2691" s="3"/>
    </row>
    <row r="2692" spans="1:14" ht="16.5" customHeight="1">
      <c r="A2692" s="3"/>
      <c r="B2692" s="3"/>
      <c r="C2692" s="3"/>
      <c r="D2692" s="3"/>
      <c r="E2692" s="3"/>
      <c r="F2692" s="3"/>
      <c r="G2692" s="3"/>
      <c r="H2692" s="3"/>
      <c r="I2692" s="3"/>
      <c r="J2692" s="3"/>
      <c r="K2692" s="3"/>
      <c r="L2692" s="3"/>
      <c r="M2692" s="3"/>
      <c r="N2692" s="3"/>
    </row>
    <row r="2693" spans="1:14" ht="16.5" customHeight="1">
      <c r="A2693" s="3"/>
      <c r="B2693" s="3"/>
      <c r="C2693" s="3"/>
      <c r="D2693" s="3"/>
      <c r="E2693" s="3"/>
      <c r="F2693" s="3"/>
      <c r="G2693" s="3"/>
      <c r="H2693" s="3"/>
      <c r="I2693" s="3"/>
      <c r="J2693" s="3"/>
      <c r="K2693" s="3"/>
      <c r="L2693" s="3"/>
      <c r="M2693" s="3"/>
      <c r="N2693" s="3"/>
    </row>
    <row r="2694" spans="1:14" ht="16.5" customHeight="1">
      <c r="A2694" s="3"/>
      <c r="B2694" s="3"/>
      <c r="C2694" s="3"/>
      <c r="D2694" s="3"/>
      <c r="E2694" s="3"/>
      <c r="F2694" s="3"/>
      <c r="G2694" s="3"/>
      <c r="H2694" s="3"/>
      <c r="I2694" s="3"/>
      <c r="J2694" s="3"/>
      <c r="K2694" s="3"/>
      <c r="L2694" s="3"/>
      <c r="M2694" s="3"/>
      <c r="N2694" s="3"/>
    </row>
    <row r="2695" spans="1:14" ht="16.5" customHeight="1">
      <c r="A2695" s="3"/>
      <c r="B2695" s="3"/>
      <c r="C2695" s="3"/>
      <c r="D2695" s="3"/>
      <c r="E2695" s="3"/>
      <c r="F2695" s="3"/>
      <c r="G2695" s="3"/>
      <c r="H2695" s="3"/>
      <c r="I2695" s="3"/>
      <c r="J2695" s="3"/>
      <c r="K2695" s="3"/>
      <c r="L2695" s="3"/>
      <c r="M2695" s="3"/>
      <c r="N2695" s="3"/>
    </row>
    <row r="2696" spans="1:14" ht="16.5" customHeight="1">
      <c r="A2696" s="3"/>
      <c r="B2696" s="3"/>
      <c r="C2696" s="3"/>
      <c r="D2696" s="3"/>
      <c r="E2696" s="3"/>
      <c r="F2696" s="3"/>
      <c r="G2696" s="3"/>
      <c r="H2696" s="3"/>
      <c r="I2696" s="3"/>
      <c r="J2696" s="3"/>
      <c r="K2696" s="3"/>
      <c r="L2696" s="3"/>
      <c r="M2696" s="3"/>
      <c r="N2696" s="3"/>
    </row>
    <row r="2697" spans="1:14" ht="16.5" customHeight="1">
      <c r="A2697" s="3"/>
      <c r="B2697" s="3"/>
      <c r="C2697" s="3"/>
      <c r="D2697" s="3"/>
      <c r="E2697" s="3"/>
      <c r="F2697" s="3"/>
      <c r="G2697" s="3"/>
      <c r="H2697" s="3"/>
      <c r="I2697" s="3"/>
      <c r="J2697" s="3"/>
      <c r="K2697" s="3"/>
      <c r="L2697" s="3"/>
      <c r="M2697" s="3"/>
      <c r="N2697" s="3"/>
    </row>
    <row r="2698" spans="1:14" ht="16.5" customHeight="1">
      <c r="A2698" s="3"/>
      <c r="B2698" s="3"/>
      <c r="C2698" s="3"/>
      <c r="D2698" s="3"/>
      <c r="E2698" s="3"/>
      <c r="F2698" s="3"/>
      <c r="G2698" s="3"/>
      <c r="H2698" s="3"/>
      <c r="I2698" s="3"/>
      <c r="J2698" s="3"/>
      <c r="K2698" s="3"/>
      <c r="L2698" s="3"/>
      <c r="M2698" s="3"/>
      <c r="N2698" s="3"/>
    </row>
    <row r="2699" spans="1:14" ht="16.5" customHeight="1">
      <c r="A2699" s="3"/>
      <c r="B2699" s="3"/>
      <c r="C2699" s="3"/>
      <c r="D2699" s="3"/>
      <c r="E2699" s="3"/>
      <c r="F2699" s="3"/>
      <c r="G2699" s="3"/>
      <c r="H2699" s="3"/>
      <c r="I2699" s="3"/>
      <c r="J2699" s="3"/>
      <c r="K2699" s="3"/>
      <c r="L2699" s="3"/>
      <c r="M2699" s="3"/>
      <c r="N2699" s="3"/>
    </row>
    <row r="2700" spans="1:14" ht="16.5" customHeight="1">
      <c r="A2700" s="3"/>
      <c r="B2700" s="3"/>
      <c r="C2700" s="3"/>
      <c r="D2700" s="3"/>
      <c r="E2700" s="3"/>
      <c r="F2700" s="3"/>
      <c r="G2700" s="3"/>
      <c r="H2700" s="3"/>
      <c r="I2700" s="3"/>
      <c r="J2700" s="3"/>
      <c r="K2700" s="3"/>
      <c r="L2700" s="3"/>
      <c r="M2700" s="3"/>
      <c r="N2700" s="3"/>
    </row>
    <row r="2701" spans="1:14" ht="16.5" customHeight="1">
      <c r="A2701" s="3"/>
      <c r="B2701" s="3"/>
      <c r="C2701" s="3"/>
      <c r="D2701" s="3"/>
      <c r="E2701" s="3"/>
      <c r="F2701" s="3"/>
      <c r="G2701" s="3"/>
      <c r="H2701" s="3"/>
      <c r="I2701" s="3"/>
      <c r="J2701" s="3"/>
      <c r="K2701" s="3"/>
      <c r="L2701" s="3"/>
      <c r="M2701" s="3"/>
      <c r="N2701" s="3"/>
    </row>
    <row r="2702" spans="1:14" ht="16.5" customHeight="1">
      <c r="A2702" s="3"/>
      <c r="B2702" s="3"/>
      <c r="C2702" s="3"/>
      <c r="D2702" s="3"/>
      <c r="E2702" s="3"/>
      <c r="F2702" s="3"/>
      <c r="G2702" s="3"/>
      <c r="H2702" s="3"/>
      <c r="I2702" s="3"/>
      <c r="J2702" s="3"/>
      <c r="K2702" s="3"/>
      <c r="L2702" s="3"/>
      <c r="M2702" s="3"/>
      <c r="N2702" s="3"/>
    </row>
    <row r="2703" spans="1:14" ht="16.5" customHeight="1">
      <c r="A2703" s="3"/>
      <c r="B2703" s="3"/>
      <c r="C2703" s="3"/>
      <c r="D2703" s="3"/>
      <c r="E2703" s="3"/>
      <c r="F2703" s="3"/>
      <c r="G2703" s="3"/>
      <c r="H2703" s="3"/>
      <c r="I2703" s="3"/>
      <c r="J2703" s="3"/>
      <c r="K2703" s="3"/>
      <c r="L2703" s="3"/>
      <c r="M2703" s="3"/>
      <c r="N2703" s="3"/>
    </row>
    <row r="2704" spans="1:14" ht="16.5" customHeight="1">
      <c r="A2704" s="3"/>
      <c r="B2704" s="3"/>
      <c r="C2704" s="3"/>
      <c r="D2704" s="3"/>
      <c r="E2704" s="3"/>
      <c r="F2704" s="3"/>
      <c r="G2704" s="3"/>
      <c r="H2704" s="3"/>
      <c r="I2704" s="3"/>
      <c r="J2704" s="3"/>
      <c r="K2704" s="3"/>
      <c r="L2704" s="3"/>
      <c r="M2704" s="3"/>
      <c r="N2704" s="3"/>
    </row>
    <row r="2705" spans="1:14" ht="16.5" customHeight="1">
      <c r="A2705" s="3"/>
      <c r="B2705" s="3"/>
      <c r="C2705" s="3"/>
      <c r="D2705" s="3"/>
      <c r="E2705" s="3"/>
      <c r="F2705" s="3"/>
      <c r="G2705" s="3"/>
      <c r="H2705" s="3"/>
      <c r="I2705" s="3"/>
      <c r="J2705" s="3"/>
      <c r="K2705" s="3"/>
      <c r="L2705" s="3"/>
      <c r="M2705" s="3"/>
      <c r="N2705" s="3"/>
    </row>
    <row r="2706" spans="1:14" ht="16.5" customHeight="1">
      <c r="A2706" s="3"/>
      <c r="B2706" s="3"/>
      <c r="C2706" s="3"/>
      <c r="D2706" s="3"/>
      <c r="E2706" s="3"/>
      <c r="F2706" s="3"/>
      <c r="G2706" s="3"/>
      <c r="H2706" s="3"/>
      <c r="I2706" s="3"/>
      <c r="J2706" s="3"/>
      <c r="K2706" s="3"/>
      <c r="L2706" s="3"/>
      <c r="M2706" s="3"/>
      <c r="N2706" s="3"/>
    </row>
    <row r="2707" spans="1:14" ht="16.5" customHeight="1">
      <c r="A2707" s="3"/>
      <c r="B2707" s="3"/>
      <c r="C2707" s="3"/>
      <c r="D2707" s="3"/>
      <c r="E2707" s="3"/>
      <c r="F2707" s="3"/>
      <c r="G2707" s="3"/>
      <c r="H2707" s="3"/>
      <c r="I2707" s="3"/>
      <c r="J2707" s="3"/>
      <c r="K2707" s="3"/>
      <c r="L2707" s="3"/>
      <c r="M2707" s="3"/>
      <c r="N2707" s="3"/>
    </row>
    <row r="2708" spans="1:14" ht="16.5" customHeight="1">
      <c r="A2708" s="3"/>
      <c r="B2708" s="3"/>
      <c r="C2708" s="3"/>
      <c r="D2708" s="3"/>
      <c r="E2708" s="3"/>
      <c r="F2708" s="3"/>
      <c r="G2708" s="3"/>
      <c r="H2708" s="3"/>
      <c r="I2708" s="3"/>
      <c r="J2708" s="3"/>
      <c r="K2708" s="3"/>
      <c r="L2708" s="3"/>
      <c r="M2708" s="3"/>
      <c r="N2708" s="3"/>
    </row>
    <row r="2709" spans="1:14" ht="16.5" customHeight="1">
      <c r="A2709" s="3"/>
      <c r="B2709" s="3"/>
      <c r="C2709" s="3"/>
      <c r="D2709" s="3"/>
      <c r="E2709" s="3"/>
      <c r="F2709" s="3"/>
      <c r="G2709" s="3"/>
      <c r="H2709" s="3"/>
      <c r="I2709" s="3"/>
      <c r="J2709" s="3"/>
      <c r="K2709" s="3"/>
      <c r="L2709" s="3"/>
      <c r="M2709" s="3"/>
      <c r="N2709" s="3"/>
    </row>
    <row r="2710" spans="1:14" ht="16.5" customHeight="1">
      <c r="A2710" s="3"/>
      <c r="B2710" s="3"/>
      <c r="C2710" s="3"/>
      <c r="D2710" s="3"/>
      <c r="E2710" s="3"/>
      <c r="F2710" s="3"/>
      <c r="G2710" s="3"/>
      <c r="H2710" s="3"/>
      <c r="I2710" s="3"/>
      <c r="J2710" s="3"/>
      <c r="K2710" s="3"/>
      <c r="L2710" s="3"/>
      <c r="M2710" s="3"/>
      <c r="N2710" s="3"/>
    </row>
    <row r="2711" spans="1:14" ht="16.5" customHeight="1">
      <c r="A2711" s="3"/>
      <c r="B2711" s="3"/>
      <c r="C2711" s="3"/>
      <c r="D2711" s="3"/>
      <c r="E2711" s="3"/>
      <c r="F2711" s="3"/>
      <c r="G2711" s="3"/>
      <c r="H2711" s="3"/>
      <c r="I2711" s="3"/>
      <c r="J2711" s="3"/>
      <c r="K2711" s="3"/>
      <c r="L2711" s="3"/>
      <c r="M2711" s="3"/>
      <c r="N2711" s="3"/>
    </row>
    <row r="2712" spans="1:14" ht="16.5" customHeight="1">
      <c r="A2712" s="3"/>
      <c r="B2712" s="3"/>
      <c r="C2712" s="3"/>
      <c r="D2712" s="3"/>
      <c r="E2712" s="3"/>
      <c r="F2712" s="3"/>
      <c r="G2712" s="3"/>
      <c r="H2712" s="3"/>
      <c r="I2712" s="3"/>
      <c r="J2712" s="3"/>
      <c r="K2712" s="3"/>
      <c r="L2712" s="3"/>
      <c r="M2712" s="3"/>
      <c r="N2712" s="3"/>
    </row>
    <row r="2713" spans="1:14" ht="16.5" customHeight="1">
      <c r="A2713" s="3"/>
      <c r="B2713" s="3"/>
      <c r="C2713" s="3"/>
      <c r="D2713" s="3"/>
      <c r="E2713" s="3"/>
      <c r="F2713" s="3"/>
      <c r="G2713" s="3"/>
      <c r="H2713" s="3"/>
      <c r="I2713" s="3"/>
      <c r="J2713" s="3"/>
      <c r="K2713" s="3"/>
      <c r="L2713" s="3"/>
      <c r="M2713" s="3"/>
      <c r="N2713" s="3"/>
    </row>
    <row r="2714" spans="1:14" ht="16.5" customHeight="1">
      <c r="A2714" s="3"/>
      <c r="B2714" s="3"/>
      <c r="C2714" s="3"/>
      <c r="D2714" s="3"/>
      <c r="E2714" s="3"/>
      <c r="F2714" s="3"/>
      <c r="G2714" s="3"/>
      <c r="H2714" s="3"/>
      <c r="I2714" s="3"/>
      <c r="J2714" s="3"/>
      <c r="K2714" s="3"/>
      <c r="L2714" s="3"/>
      <c r="M2714" s="3"/>
      <c r="N2714" s="3"/>
    </row>
    <row r="2715" spans="1:14" ht="16.5" customHeight="1">
      <c r="A2715" s="3"/>
      <c r="B2715" s="3"/>
      <c r="C2715" s="3"/>
      <c r="D2715" s="3"/>
      <c r="E2715" s="3"/>
      <c r="F2715" s="3"/>
      <c r="G2715" s="3"/>
      <c r="H2715" s="3"/>
      <c r="I2715" s="3"/>
      <c r="J2715" s="3"/>
      <c r="K2715" s="3"/>
      <c r="L2715" s="3"/>
      <c r="M2715" s="3"/>
      <c r="N2715" s="3"/>
    </row>
    <row r="2716" spans="1:14" ht="16.5" customHeight="1">
      <c r="A2716" s="3"/>
      <c r="B2716" s="3"/>
      <c r="C2716" s="3"/>
      <c r="D2716" s="3"/>
      <c r="E2716" s="3"/>
      <c r="F2716" s="3"/>
      <c r="G2716" s="3"/>
      <c r="H2716" s="3"/>
      <c r="I2716" s="3"/>
      <c r="J2716" s="3"/>
      <c r="K2716" s="3"/>
      <c r="L2716" s="3"/>
      <c r="M2716" s="3"/>
      <c r="N2716" s="3"/>
    </row>
    <row r="2717" spans="1:14" ht="16.5" customHeight="1">
      <c r="A2717" s="3"/>
      <c r="B2717" s="3"/>
      <c r="C2717" s="3"/>
      <c r="D2717" s="3"/>
      <c r="E2717" s="3"/>
      <c r="F2717" s="3"/>
      <c r="G2717" s="3"/>
      <c r="H2717" s="3"/>
      <c r="I2717" s="3"/>
      <c r="J2717" s="3"/>
      <c r="K2717" s="3"/>
      <c r="L2717" s="3"/>
      <c r="M2717" s="3"/>
      <c r="N2717" s="3"/>
    </row>
    <row r="2718" spans="1:14" ht="16.5" customHeight="1">
      <c r="A2718" s="3"/>
      <c r="B2718" s="3"/>
      <c r="C2718" s="3"/>
      <c r="D2718" s="3"/>
      <c r="E2718" s="3"/>
      <c r="F2718" s="3"/>
      <c r="G2718" s="3"/>
      <c r="H2718" s="3"/>
      <c r="I2718" s="3"/>
      <c r="J2718" s="3"/>
      <c r="K2718" s="3"/>
      <c r="L2718" s="3"/>
      <c r="M2718" s="3"/>
      <c r="N2718" s="3"/>
    </row>
    <row r="2719" spans="1:14" ht="16.5" customHeight="1">
      <c r="A2719" s="3"/>
      <c r="B2719" s="3"/>
      <c r="C2719" s="3"/>
      <c r="D2719" s="3"/>
      <c r="E2719" s="3"/>
      <c r="F2719" s="3"/>
      <c r="G2719" s="3"/>
      <c r="H2719" s="3"/>
      <c r="I2719" s="3"/>
      <c r="J2719" s="3"/>
      <c r="K2719" s="3"/>
      <c r="L2719" s="3"/>
      <c r="M2719" s="3"/>
      <c r="N2719" s="3"/>
    </row>
    <row r="2720" spans="1:14" ht="16.5" customHeight="1">
      <c r="A2720" s="3"/>
      <c r="B2720" s="3"/>
      <c r="C2720" s="3"/>
      <c r="D2720" s="3"/>
      <c r="E2720" s="3"/>
      <c r="F2720" s="3"/>
      <c r="G2720" s="3"/>
      <c r="H2720" s="3"/>
      <c r="I2720" s="3"/>
      <c r="J2720" s="3"/>
      <c r="K2720" s="3"/>
      <c r="L2720" s="3"/>
      <c r="M2720" s="3"/>
      <c r="N2720" s="3"/>
    </row>
    <row r="2721" spans="1:14" ht="16.5" customHeight="1">
      <c r="A2721" s="3"/>
      <c r="B2721" s="3"/>
      <c r="C2721" s="3"/>
      <c r="D2721" s="3"/>
      <c r="E2721" s="3"/>
      <c r="F2721" s="3"/>
      <c r="G2721" s="3"/>
      <c r="H2721" s="3"/>
      <c r="I2721" s="3"/>
      <c r="J2721" s="3"/>
      <c r="K2721" s="3"/>
      <c r="L2721" s="3"/>
      <c r="M2721" s="3"/>
      <c r="N2721" s="3"/>
    </row>
    <row r="2722" spans="1:14" ht="16.5" customHeight="1">
      <c r="A2722" s="3"/>
      <c r="B2722" s="3"/>
      <c r="C2722" s="3"/>
      <c r="D2722" s="3"/>
      <c r="E2722" s="3"/>
      <c r="F2722" s="3"/>
      <c r="G2722" s="3"/>
      <c r="H2722" s="3"/>
      <c r="I2722" s="3"/>
      <c r="J2722" s="3"/>
      <c r="K2722" s="3"/>
      <c r="L2722" s="3"/>
      <c r="M2722" s="3"/>
      <c r="N2722" s="3"/>
    </row>
    <row r="2723" spans="1:14" ht="16.5" customHeight="1">
      <c r="A2723" s="3"/>
      <c r="B2723" s="3"/>
      <c r="C2723" s="3"/>
      <c r="D2723" s="3"/>
      <c r="E2723" s="3"/>
      <c r="F2723" s="3"/>
      <c r="G2723" s="3"/>
      <c r="H2723" s="3"/>
      <c r="I2723" s="3"/>
      <c r="J2723" s="3"/>
      <c r="K2723" s="3"/>
      <c r="L2723" s="3"/>
      <c r="M2723" s="3"/>
      <c r="N2723" s="3"/>
    </row>
    <row r="2724" spans="1:14" ht="16.5" customHeight="1">
      <c r="A2724" s="3"/>
      <c r="B2724" s="3"/>
      <c r="C2724" s="3"/>
      <c r="D2724" s="3"/>
      <c r="E2724" s="3"/>
      <c r="F2724" s="3"/>
      <c r="G2724" s="3"/>
      <c r="H2724" s="3"/>
      <c r="I2724" s="3"/>
      <c r="J2724" s="3"/>
      <c r="K2724" s="3"/>
      <c r="L2724" s="3"/>
      <c r="M2724" s="3"/>
      <c r="N2724" s="3"/>
    </row>
    <row r="2725" spans="1:14" ht="16.5" customHeight="1">
      <c r="A2725" s="3"/>
      <c r="B2725" s="3"/>
      <c r="C2725" s="3"/>
      <c r="D2725" s="3"/>
      <c r="E2725" s="3"/>
      <c r="F2725" s="3"/>
      <c r="G2725" s="3"/>
      <c r="H2725" s="3"/>
      <c r="I2725" s="3"/>
      <c r="J2725" s="3"/>
      <c r="K2725" s="3"/>
      <c r="L2725" s="3"/>
      <c r="M2725" s="3"/>
      <c r="N2725" s="3"/>
    </row>
    <row r="2726" spans="1:14" ht="16.5" customHeight="1">
      <c r="A2726" s="3"/>
      <c r="B2726" s="3"/>
      <c r="C2726" s="3"/>
      <c r="D2726" s="3"/>
      <c r="E2726" s="3"/>
      <c r="F2726" s="3"/>
      <c r="G2726" s="3"/>
      <c r="H2726" s="3"/>
      <c r="I2726" s="3"/>
      <c r="J2726" s="3"/>
      <c r="K2726" s="3"/>
      <c r="L2726" s="3"/>
      <c r="M2726" s="3"/>
      <c r="N2726" s="3"/>
    </row>
    <row r="2727" spans="1:14" ht="16.5" customHeight="1">
      <c r="A2727" s="3"/>
      <c r="B2727" s="3"/>
      <c r="C2727" s="3"/>
      <c r="D2727" s="3"/>
      <c r="E2727" s="3"/>
      <c r="F2727" s="3"/>
      <c r="G2727" s="3"/>
      <c r="H2727" s="3"/>
      <c r="I2727" s="3"/>
      <c r="J2727" s="3"/>
      <c r="K2727" s="3"/>
      <c r="L2727" s="3"/>
      <c r="M2727" s="3"/>
      <c r="N2727" s="3"/>
    </row>
    <row r="2728" spans="1:14" ht="16.5" customHeight="1">
      <c r="A2728" s="3"/>
      <c r="B2728" s="3"/>
      <c r="C2728" s="3"/>
      <c r="D2728" s="3"/>
      <c r="E2728" s="3"/>
      <c r="F2728" s="3"/>
      <c r="G2728" s="3"/>
      <c r="H2728" s="3"/>
      <c r="I2728" s="3"/>
      <c r="J2728" s="3"/>
      <c r="K2728" s="3"/>
      <c r="L2728" s="3"/>
      <c r="M2728" s="3"/>
      <c r="N2728" s="3"/>
    </row>
    <row r="2729" spans="1:14" ht="16.5" customHeight="1">
      <c r="A2729" s="3"/>
      <c r="B2729" s="3"/>
      <c r="C2729" s="3"/>
      <c r="D2729" s="3"/>
      <c r="E2729" s="3"/>
      <c r="F2729" s="3"/>
      <c r="G2729" s="3"/>
      <c r="H2729" s="3"/>
      <c r="I2729" s="3"/>
      <c r="J2729" s="3"/>
      <c r="K2729" s="3"/>
      <c r="L2729" s="3"/>
      <c r="M2729" s="3"/>
      <c r="N2729" s="3"/>
    </row>
    <row r="2730" spans="1:14" ht="16.5" customHeight="1">
      <c r="A2730" s="3"/>
      <c r="B2730" s="3"/>
      <c r="C2730" s="3"/>
      <c r="D2730" s="3"/>
      <c r="E2730" s="3"/>
      <c r="F2730" s="3"/>
      <c r="G2730" s="3"/>
      <c r="H2730" s="3"/>
      <c r="I2730" s="3"/>
      <c r="J2730" s="3"/>
      <c r="K2730" s="3"/>
      <c r="L2730" s="3"/>
      <c r="M2730" s="3"/>
      <c r="N2730" s="3"/>
    </row>
    <row r="2731" spans="1:14" ht="16.5" customHeight="1">
      <c r="A2731" s="3"/>
      <c r="B2731" s="3"/>
      <c r="C2731" s="3"/>
      <c r="D2731" s="3"/>
      <c r="E2731" s="3"/>
      <c r="F2731" s="3"/>
      <c r="G2731" s="3"/>
      <c r="H2731" s="3"/>
      <c r="I2731" s="3"/>
      <c r="J2731" s="3"/>
      <c r="K2731" s="3"/>
      <c r="L2731" s="3"/>
      <c r="M2731" s="3"/>
      <c r="N2731" s="3"/>
    </row>
    <row r="2732" spans="1:14" ht="16.5" customHeight="1">
      <c r="A2732" s="3"/>
      <c r="B2732" s="3"/>
      <c r="C2732" s="3"/>
      <c r="D2732" s="3"/>
      <c r="E2732" s="3"/>
      <c r="F2732" s="3"/>
      <c r="G2732" s="3"/>
      <c r="H2732" s="3"/>
      <c r="I2732" s="3"/>
      <c r="J2732" s="3"/>
      <c r="K2732" s="3"/>
      <c r="L2732" s="3"/>
      <c r="M2732" s="3"/>
      <c r="N2732" s="3"/>
    </row>
    <row r="2733" spans="1:14" ht="16.5" customHeight="1">
      <c r="A2733" s="3"/>
      <c r="B2733" s="3"/>
      <c r="C2733" s="3"/>
      <c r="D2733" s="3"/>
      <c r="E2733" s="3"/>
      <c r="F2733" s="3"/>
      <c r="G2733" s="3"/>
      <c r="H2733" s="3"/>
      <c r="I2733" s="3"/>
      <c r="J2733" s="3"/>
      <c r="K2733" s="3"/>
      <c r="L2733" s="3"/>
      <c r="M2733" s="3"/>
      <c r="N2733" s="3"/>
    </row>
    <row r="2734" spans="1:14" ht="16.5" customHeight="1">
      <c r="A2734" s="3"/>
      <c r="B2734" s="3"/>
      <c r="C2734" s="3"/>
      <c r="D2734" s="3"/>
      <c r="E2734" s="3"/>
      <c r="F2734" s="3"/>
      <c r="G2734" s="3"/>
      <c r="H2734" s="3"/>
      <c r="I2734" s="3"/>
      <c r="J2734" s="3"/>
      <c r="K2734" s="3"/>
      <c r="L2734" s="3"/>
      <c r="M2734" s="3"/>
      <c r="N2734" s="3"/>
    </row>
    <row r="2735" spans="1:14" ht="16.5" customHeight="1">
      <c r="A2735" s="3"/>
      <c r="B2735" s="3"/>
      <c r="C2735" s="3"/>
      <c r="D2735" s="3"/>
      <c r="E2735" s="3"/>
      <c r="F2735" s="3"/>
      <c r="G2735" s="3"/>
      <c r="H2735" s="3"/>
      <c r="I2735" s="3"/>
      <c r="J2735" s="3"/>
      <c r="K2735" s="3"/>
      <c r="L2735" s="3"/>
      <c r="M2735" s="3"/>
      <c r="N2735" s="3"/>
    </row>
    <row r="2736" spans="1:14" ht="16.5" customHeight="1">
      <c r="A2736" s="3"/>
      <c r="B2736" s="3"/>
      <c r="C2736" s="3"/>
      <c r="D2736" s="3"/>
      <c r="E2736" s="3"/>
      <c r="F2736" s="3"/>
      <c r="G2736" s="3"/>
      <c r="H2736" s="3"/>
      <c r="I2736" s="3"/>
      <c r="J2736" s="3"/>
      <c r="K2736" s="3"/>
      <c r="L2736" s="3"/>
      <c r="M2736" s="3"/>
      <c r="N2736" s="3"/>
    </row>
    <row r="2737" spans="1:14" ht="16.5" customHeight="1">
      <c r="A2737" s="3"/>
      <c r="B2737" s="3"/>
      <c r="C2737" s="3"/>
      <c r="D2737" s="3"/>
      <c r="E2737" s="3"/>
      <c r="F2737" s="3"/>
      <c r="G2737" s="3"/>
      <c r="H2737" s="3"/>
      <c r="I2737" s="3"/>
      <c r="J2737" s="3"/>
      <c r="K2737" s="3"/>
      <c r="L2737" s="3"/>
      <c r="M2737" s="3"/>
      <c r="N2737" s="3"/>
    </row>
    <row r="2738" spans="1:14" ht="16.5" customHeight="1">
      <c r="A2738" s="3"/>
      <c r="B2738" s="3"/>
      <c r="C2738" s="3"/>
      <c r="D2738" s="3"/>
      <c r="E2738" s="3"/>
      <c r="F2738" s="3"/>
      <c r="G2738" s="3"/>
      <c r="H2738" s="3"/>
      <c r="I2738" s="3"/>
      <c r="J2738" s="3"/>
      <c r="K2738" s="3"/>
      <c r="L2738" s="3"/>
      <c r="M2738" s="3"/>
      <c r="N2738" s="3"/>
    </row>
    <row r="2739" spans="1:14" ht="16.5" customHeight="1">
      <c r="A2739" s="3"/>
      <c r="B2739" s="3"/>
      <c r="C2739" s="3"/>
      <c r="D2739" s="3"/>
      <c r="E2739" s="3"/>
      <c r="F2739" s="3"/>
      <c r="G2739" s="3"/>
      <c r="H2739" s="3"/>
      <c r="I2739" s="3"/>
      <c r="J2739" s="3"/>
      <c r="K2739" s="3"/>
      <c r="L2739" s="3"/>
      <c r="M2739" s="3"/>
      <c r="N2739" s="3"/>
    </row>
    <row r="2740" spans="1:14" ht="16.5" customHeight="1">
      <c r="A2740" s="3"/>
      <c r="B2740" s="3"/>
      <c r="C2740" s="3"/>
      <c r="D2740" s="3"/>
      <c r="E2740" s="3"/>
      <c r="F2740" s="3"/>
      <c r="G2740" s="3"/>
      <c r="H2740" s="3"/>
      <c r="I2740" s="3"/>
      <c r="J2740" s="3"/>
      <c r="K2740" s="3"/>
      <c r="L2740" s="3"/>
      <c r="M2740" s="3"/>
      <c r="N2740" s="3"/>
    </row>
    <row r="2741" spans="1:14" ht="16.5" customHeight="1">
      <c r="A2741" s="3"/>
      <c r="B2741" s="3"/>
      <c r="C2741" s="3"/>
      <c r="D2741" s="3"/>
      <c r="E2741" s="3"/>
      <c r="F2741" s="3"/>
      <c r="G2741" s="3"/>
      <c r="H2741" s="3"/>
      <c r="I2741" s="3"/>
      <c r="J2741" s="3"/>
      <c r="K2741" s="3"/>
      <c r="L2741" s="3"/>
      <c r="M2741" s="3"/>
      <c r="N2741" s="3"/>
    </row>
    <row r="2742" spans="1:14" ht="16.5" customHeight="1">
      <c r="A2742" s="3"/>
      <c r="B2742" s="3"/>
      <c r="C2742" s="3"/>
      <c r="D2742" s="3"/>
      <c r="E2742" s="3"/>
      <c r="F2742" s="3"/>
      <c r="G2742" s="3"/>
      <c r="H2742" s="3"/>
      <c r="I2742" s="3"/>
      <c r="J2742" s="3"/>
      <c r="K2742" s="3"/>
      <c r="L2742" s="3"/>
      <c r="M2742" s="3"/>
      <c r="N2742" s="3"/>
    </row>
    <row r="2743" spans="1:14" ht="16.5" customHeight="1">
      <c r="A2743" s="3"/>
      <c r="B2743" s="3"/>
      <c r="C2743" s="3"/>
      <c r="D2743" s="3"/>
      <c r="E2743" s="3"/>
      <c r="F2743" s="3"/>
      <c r="G2743" s="3"/>
      <c r="H2743" s="3"/>
      <c r="I2743" s="3"/>
      <c r="J2743" s="3"/>
      <c r="K2743" s="3"/>
      <c r="L2743" s="3"/>
      <c r="M2743" s="3"/>
      <c r="N2743" s="3"/>
    </row>
    <row r="2744" spans="1:14" ht="16.5" customHeight="1">
      <c r="A2744" s="3"/>
      <c r="B2744" s="3"/>
      <c r="C2744" s="3"/>
      <c r="D2744" s="3"/>
      <c r="E2744" s="3"/>
      <c r="F2744" s="3"/>
      <c r="G2744" s="3"/>
      <c r="H2744" s="3"/>
      <c r="I2744" s="3"/>
      <c r="J2744" s="3"/>
      <c r="K2744" s="3"/>
      <c r="L2744" s="3"/>
      <c r="M2744" s="3"/>
      <c r="N2744" s="3"/>
    </row>
    <row r="2745" spans="1:14" ht="16.5" customHeight="1">
      <c r="A2745" s="3"/>
      <c r="B2745" s="3"/>
      <c r="C2745" s="3"/>
      <c r="D2745" s="3"/>
      <c r="E2745" s="3"/>
      <c r="F2745" s="3"/>
      <c r="G2745" s="3"/>
      <c r="H2745" s="3"/>
      <c r="I2745" s="3"/>
      <c r="J2745" s="3"/>
      <c r="K2745" s="3"/>
      <c r="L2745" s="3"/>
      <c r="M2745" s="3"/>
      <c r="N2745" s="3"/>
    </row>
    <row r="2746" spans="1:14" ht="16.5" customHeight="1">
      <c r="A2746" s="3"/>
      <c r="B2746" s="3"/>
      <c r="C2746" s="3"/>
      <c r="D2746" s="3"/>
      <c r="E2746" s="3"/>
      <c r="F2746" s="3"/>
      <c r="G2746" s="3"/>
      <c r="H2746" s="3"/>
      <c r="I2746" s="3"/>
      <c r="J2746" s="3"/>
      <c r="K2746" s="3"/>
      <c r="L2746" s="3"/>
      <c r="M2746" s="3"/>
      <c r="N2746" s="3"/>
    </row>
    <row r="2747" spans="1:14" ht="16.5" customHeight="1">
      <c r="A2747" s="3"/>
      <c r="B2747" s="3"/>
      <c r="C2747" s="3"/>
      <c r="D2747" s="3"/>
      <c r="E2747" s="3"/>
      <c r="F2747" s="3"/>
      <c r="G2747" s="3"/>
      <c r="H2747" s="3"/>
      <c r="I2747" s="3"/>
      <c r="J2747" s="3"/>
      <c r="K2747" s="3"/>
      <c r="L2747" s="3"/>
      <c r="M2747" s="3"/>
      <c r="N2747" s="3"/>
    </row>
    <row r="2748" spans="1:14" ht="16.5" customHeight="1">
      <c r="A2748" s="3"/>
      <c r="B2748" s="3"/>
      <c r="C2748" s="3"/>
      <c r="D2748" s="3"/>
      <c r="E2748" s="3"/>
      <c r="F2748" s="3"/>
      <c r="G2748" s="3"/>
      <c r="H2748" s="3"/>
      <c r="I2748" s="3"/>
      <c r="J2748" s="3"/>
      <c r="K2748" s="3"/>
      <c r="L2748" s="3"/>
      <c r="M2748" s="3"/>
      <c r="N2748" s="3"/>
    </row>
    <row r="2749" spans="1:14" ht="16.5" customHeight="1">
      <c r="A2749" s="3"/>
      <c r="B2749" s="3"/>
      <c r="C2749" s="3"/>
      <c r="D2749" s="3"/>
      <c r="E2749" s="3"/>
      <c r="F2749" s="3"/>
      <c r="G2749" s="3"/>
      <c r="H2749" s="3"/>
      <c r="I2749" s="3"/>
      <c r="J2749" s="3"/>
      <c r="K2749" s="3"/>
      <c r="L2749" s="3"/>
      <c r="M2749" s="3"/>
      <c r="N2749" s="3"/>
    </row>
    <row r="2750" spans="1:14" ht="16.5" customHeight="1">
      <c r="A2750" s="3"/>
      <c r="B2750" s="3"/>
      <c r="C2750" s="3"/>
      <c r="D2750" s="3"/>
      <c r="E2750" s="3"/>
      <c r="F2750" s="3"/>
      <c r="G2750" s="3"/>
      <c r="H2750" s="3"/>
      <c r="I2750" s="3"/>
      <c r="J2750" s="3"/>
      <c r="K2750" s="3"/>
      <c r="L2750" s="3"/>
      <c r="M2750" s="3"/>
      <c r="N2750" s="3"/>
    </row>
    <row r="2751" spans="1:14" ht="16.5" customHeight="1">
      <c r="A2751" s="3"/>
      <c r="B2751" s="3"/>
      <c r="C2751" s="3"/>
      <c r="D2751" s="3"/>
      <c r="E2751" s="3"/>
      <c r="F2751" s="3"/>
      <c r="G2751" s="3"/>
      <c r="H2751" s="3"/>
      <c r="I2751" s="3"/>
      <c r="J2751" s="3"/>
      <c r="K2751" s="3"/>
      <c r="L2751" s="3"/>
      <c r="M2751" s="3"/>
      <c r="N2751" s="3"/>
    </row>
    <row r="2752" spans="1:14" ht="16.5" customHeight="1">
      <c r="A2752" s="3"/>
      <c r="B2752" s="3"/>
      <c r="C2752" s="3"/>
      <c r="D2752" s="3"/>
      <c r="E2752" s="3"/>
      <c r="F2752" s="3"/>
      <c r="G2752" s="3"/>
      <c r="H2752" s="3"/>
      <c r="I2752" s="3"/>
      <c r="J2752" s="3"/>
      <c r="K2752" s="3"/>
      <c r="L2752" s="3"/>
      <c r="M2752" s="3"/>
      <c r="N2752" s="3"/>
    </row>
    <row r="2753" spans="1:14" ht="16.5" customHeight="1">
      <c r="A2753" s="3"/>
      <c r="B2753" s="3"/>
      <c r="C2753" s="3"/>
      <c r="D2753" s="3"/>
      <c r="E2753" s="3"/>
      <c r="F2753" s="3"/>
      <c r="G2753" s="3"/>
      <c r="H2753" s="3"/>
      <c r="I2753" s="3"/>
      <c r="J2753" s="3"/>
      <c r="K2753" s="3"/>
      <c r="L2753" s="3"/>
      <c r="M2753" s="3"/>
      <c r="N2753" s="3"/>
    </row>
    <row r="2754" spans="1:14" ht="16.5" customHeight="1">
      <c r="A2754" s="3"/>
      <c r="B2754" s="3"/>
      <c r="C2754" s="3"/>
      <c r="D2754" s="3"/>
      <c r="E2754" s="3"/>
      <c r="F2754" s="3"/>
      <c r="G2754" s="3"/>
      <c r="H2754" s="3"/>
      <c r="I2754" s="3"/>
      <c r="J2754" s="3"/>
      <c r="K2754" s="3"/>
      <c r="L2754" s="3"/>
      <c r="M2754" s="3"/>
      <c r="N2754" s="3"/>
    </row>
    <row r="2755" spans="1:14" ht="16.5" customHeight="1">
      <c r="A2755" s="3"/>
      <c r="B2755" s="3"/>
      <c r="C2755" s="3"/>
      <c r="D2755" s="3"/>
      <c r="E2755" s="3"/>
      <c r="F2755" s="3"/>
      <c r="G2755" s="3"/>
      <c r="H2755" s="3"/>
      <c r="I2755" s="3"/>
      <c r="J2755" s="3"/>
      <c r="K2755" s="3"/>
      <c r="L2755" s="3"/>
      <c r="M2755" s="3"/>
      <c r="N2755" s="3"/>
    </row>
    <row r="2756" spans="1:14" ht="16.5" customHeight="1">
      <c r="A2756" s="3"/>
      <c r="B2756" s="3"/>
      <c r="C2756" s="3"/>
      <c r="D2756" s="3"/>
      <c r="E2756" s="3"/>
      <c r="F2756" s="3"/>
      <c r="G2756" s="3"/>
      <c r="H2756" s="3"/>
      <c r="I2756" s="3"/>
      <c r="J2756" s="3"/>
      <c r="K2756" s="3"/>
      <c r="L2756" s="3"/>
      <c r="M2756" s="3"/>
      <c r="N2756" s="3"/>
    </row>
    <row r="2757" spans="1:14" ht="16.5" customHeight="1">
      <c r="A2757" s="3"/>
      <c r="B2757" s="3"/>
      <c r="C2757" s="3"/>
      <c r="D2757" s="3"/>
      <c r="E2757" s="3"/>
      <c r="F2757" s="3"/>
      <c r="G2757" s="3"/>
      <c r="H2757" s="3"/>
      <c r="I2757" s="3"/>
      <c r="J2757" s="3"/>
      <c r="K2757" s="3"/>
      <c r="L2757" s="3"/>
      <c r="M2757" s="3"/>
      <c r="N2757" s="3"/>
    </row>
    <row r="2758" spans="1:14" ht="16.5" customHeight="1">
      <c r="A2758" s="3"/>
      <c r="B2758" s="3"/>
      <c r="C2758" s="3"/>
      <c r="D2758" s="3"/>
      <c r="E2758" s="3"/>
      <c r="F2758" s="3"/>
      <c r="G2758" s="3"/>
      <c r="H2758" s="3"/>
      <c r="I2758" s="3"/>
      <c r="J2758" s="3"/>
      <c r="K2758" s="3"/>
      <c r="L2758" s="3"/>
      <c r="M2758" s="3"/>
      <c r="N2758" s="3"/>
    </row>
    <row r="2759" spans="1:14" ht="16.5" customHeight="1">
      <c r="A2759" s="3"/>
      <c r="B2759" s="3"/>
      <c r="C2759" s="3"/>
      <c r="D2759" s="3"/>
      <c r="E2759" s="3"/>
      <c r="F2759" s="3"/>
      <c r="G2759" s="3"/>
      <c r="H2759" s="3"/>
      <c r="I2759" s="3"/>
      <c r="J2759" s="3"/>
      <c r="K2759" s="3"/>
      <c r="L2759" s="3"/>
      <c r="M2759" s="3"/>
      <c r="N2759" s="3"/>
    </row>
    <row r="2760" spans="1:14" ht="16.5" customHeight="1">
      <c r="A2760" s="3"/>
      <c r="B2760" s="3"/>
      <c r="C2760" s="3"/>
      <c r="D2760" s="3"/>
      <c r="E2760" s="3"/>
      <c r="F2760" s="3"/>
      <c r="G2760" s="3"/>
      <c r="H2760" s="3"/>
      <c r="I2760" s="3"/>
      <c r="J2760" s="3"/>
      <c r="K2760" s="3"/>
      <c r="L2760" s="3"/>
      <c r="M2760" s="3"/>
      <c r="N2760" s="3"/>
    </row>
    <row r="2761" spans="1:14" ht="16.5" customHeight="1">
      <c r="A2761" s="3"/>
      <c r="B2761" s="3"/>
      <c r="C2761" s="3"/>
      <c r="D2761" s="3"/>
      <c r="E2761" s="3"/>
      <c r="F2761" s="3"/>
      <c r="G2761" s="3"/>
      <c r="H2761" s="3"/>
      <c r="I2761" s="3"/>
      <c r="J2761" s="3"/>
      <c r="K2761" s="3"/>
      <c r="L2761" s="3"/>
      <c r="M2761" s="3"/>
      <c r="N2761" s="3"/>
    </row>
    <row r="2762" spans="1:14" ht="16.5" customHeight="1">
      <c r="A2762" s="3"/>
      <c r="B2762" s="3"/>
      <c r="C2762" s="3"/>
      <c r="D2762" s="3"/>
      <c r="E2762" s="3"/>
      <c r="F2762" s="3"/>
      <c r="G2762" s="3"/>
      <c r="H2762" s="3"/>
      <c r="I2762" s="3"/>
      <c r="J2762" s="3"/>
      <c r="K2762" s="3"/>
      <c r="L2762" s="3"/>
      <c r="M2762" s="3"/>
      <c r="N2762" s="3"/>
    </row>
    <row r="2763" spans="1:14" ht="16.5" customHeight="1">
      <c r="A2763" s="3"/>
      <c r="B2763" s="3"/>
      <c r="C2763" s="3"/>
      <c r="D2763" s="3"/>
      <c r="E2763" s="3"/>
      <c r="F2763" s="3"/>
      <c r="G2763" s="3"/>
      <c r="H2763" s="3"/>
      <c r="I2763" s="3"/>
      <c r="J2763" s="3"/>
      <c r="K2763" s="3"/>
      <c r="L2763" s="3"/>
      <c r="M2763" s="3"/>
      <c r="N2763" s="3"/>
    </row>
    <row r="2764" spans="1:14" ht="16.5" customHeight="1">
      <c r="A2764" s="3"/>
      <c r="B2764" s="3"/>
      <c r="C2764" s="3"/>
      <c r="D2764" s="3"/>
      <c r="E2764" s="3"/>
      <c r="F2764" s="3"/>
      <c r="G2764" s="3"/>
      <c r="H2764" s="3"/>
      <c r="I2764" s="3"/>
      <c r="J2764" s="3"/>
      <c r="K2764" s="3"/>
      <c r="L2764" s="3"/>
      <c r="M2764" s="3"/>
      <c r="N2764" s="3"/>
    </row>
    <row r="2765" spans="1:14" ht="16.5" customHeight="1">
      <c r="A2765" s="3"/>
      <c r="B2765" s="3"/>
      <c r="C2765" s="3"/>
      <c r="D2765" s="3"/>
      <c r="E2765" s="3"/>
      <c r="F2765" s="3"/>
      <c r="G2765" s="3"/>
      <c r="H2765" s="3"/>
      <c r="I2765" s="3"/>
      <c r="J2765" s="3"/>
      <c r="K2765" s="3"/>
      <c r="L2765" s="3"/>
      <c r="M2765" s="3"/>
      <c r="N2765" s="3"/>
    </row>
    <row r="2766" spans="1:14" ht="16.5" customHeight="1">
      <c r="A2766" s="3"/>
      <c r="B2766" s="3"/>
      <c r="C2766" s="3"/>
      <c r="D2766" s="3"/>
      <c r="E2766" s="3"/>
      <c r="F2766" s="3"/>
      <c r="G2766" s="3"/>
      <c r="H2766" s="3"/>
      <c r="I2766" s="3"/>
      <c r="J2766" s="3"/>
      <c r="K2766" s="3"/>
      <c r="L2766" s="3"/>
      <c r="M2766" s="3"/>
      <c r="N2766" s="3"/>
    </row>
    <row r="2767" spans="1:14" ht="16.5" customHeight="1">
      <c r="A2767" s="3"/>
      <c r="B2767" s="3"/>
      <c r="C2767" s="3"/>
      <c r="D2767" s="3"/>
      <c r="E2767" s="3"/>
      <c r="F2767" s="3"/>
      <c r="G2767" s="3"/>
      <c r="H2767" s="3"/>
      <c r="I2767" s="3"/>
      <c r="J2767" s="3"/>
      <c r="K2767" s="3"/>
      <c r="L2767" s="3"/>
      <c r="M2767" s="3"/>
      <c r="N2767" s="3"/>
    </row>
    <row r="2768" spans="1:14" ht="16.5" customHeight="1">
      <c r="A2768" s="3"/>
      <c r="B2768" s="3"/>
      <c r="C2768" s="3"/>
      <c r="D2768" s="3"/>
      <c r="E2768" s="3"/>
      <c r="F2768" s="3"/>
      <c r="G2768" s="3"/>
      <c r="H2768" s="3"/>
      <c r="I2768" s="3"/>
      <c r="J2768" s="3"/>
      <c r="K2768" s="3"/>
      <c r="L2768" s="3"/>
      <c r="M2768" s="3"/>
      <c r="N2768" s="3"/>
    </row>
    <row r="2769" spans="1:14" ht="16.5" customHeight="1">
      <c r="A2769" s="3"/>
      <c r="B2769" s="3"/>
      <c r="C2769" s="3"/>
      <c r="D2769" s="3"/>
      <c r="E2769" s="3"/>
      <c r="F2769" s="3"/>
      <c r="G2769" s="3"/>
      <c r="H2769" s="3"/>
      <c r="I2769" s="3"/>
      <c r="J2769" s="3"/>
      <c r="K2769" s="3"/>
      <c r="L2769" s="3"/>
      <c r="M2769" s="3"/>
      <c r="N2769" s="3"/>
    </row>
    <row r="2770" spans="1:14" ht="16.5" customHeight="1">
      <c r="A2770" s="3"/>
      <c r="B2770" s="3"/>
      <c r="C2770" s="3"/>
      <c r="D2770" s="3"/>
      <c r="E2770" s="3"/>
      <c r="F2770" s="3"/>
      <c r="G2770" s="3"/>
      <c r="H2770" s="3"/>
      <c r="I2770" s="3"/>
      <c r="J2770" s="3"/>
      <c r="K2770" s="3"/>
      <c r="L2770" s="3"/>
      <c r="M2770" s="3"/>
      <c r="N2770" s="3"/>
    </row>
    <row r="2771" spans="1:14" ht="16.5" customHeight="1">
      <c r="A2771" s="3"/>
      <c r="B2771" s="3"/>
      <c r="C2771" s="3"/>
      <c r="D2771" s="3"/>
      <c r="E2771" s="3"/>
      <c r="F2771" s="3"/>
      <c r="G2771" s="3"/>
      <c r="H2771" s="3"/>
      <c r="I2771" s="3"/>
      <c r="J2771" s="3"/>
      <c r="K2771" s="3"/>
      <c r="L2771" s="3"/>
      <c r="M2771" s="3"/>
      <c r="N2771" s="3"/>
    </row>
    <row r="2772" spans="1:14" ht="16.5" customHeight="1">
      <c r="A2772" s="3"/>
      <c r="B2772" s="3"/>
      <c r="C2772" s="3"/>
      <c r="D2772" s="3"/>
      <c r="E2772" s="3"/>
      <c r="F2772" s="3"/>
      <c r="G2772" s="3"/>
      <c r="H2772" s="3"/>
      <c r="I2772" s="3"/>
      <c r="J2772" s="3"/>
      <c r="K2772" s="3"/>
      <c r="L2772" s="3"/>
      <c r="M2772" s="3"/>
      <c r="N2772" s="3"/>
    </row>
    <row r="2773" spans="1:14" ht="16.5" customHeight="1">
      <c r="A2773" s="3"/>
      <c r="B2773" s="3"/>
      <c r="C2773" s="3"/>
      <c r="D2773" s="3"/>
      <c r="E2773" s="3"/>
      <c r="F2773" s="3"/>
      <c r="G2773" s="3"/>
      <c r="H2773" s="3"/>
      <c r="I2773" s="3"/>
      <c r="J2773" s="3"/>
      <c r="K2773" s="3"/>
      <c r="L2773" s="3"/>
      <c r="M2773" s="3"/>
      <c r="N2773" s="3"/>
    </row>
    <row r="2774" spans="1:14" ht="16.5" customHeight="1">
      <c r="A2774" s="3"/>
      <c r="B2774" s="3"/>
      <c r="C2774" s="3"/>
      <c r="D2774" s="3"/>
      <c r="E2774" s="3"/>
      <c r="F2774" s="3"/>
      <c r="G2774" s="3"/>
      <c r="H2774" s="3"/>
      <c r="I2774" s="3"/>
      <c r="J2774" s="3"/>
      <c r="K2774" s="3"/>
      <c r="L2774" s="3"/>
      <c r="M2774" s="3"/>
      <c r="N2774" s="3"/>
    </row>
    <row r="2775" spans="1:14" ht="16.5" customHeight="1">
      <c r="A2775" s="3"/>
      <c r="B2775" s="3"/>
      <c r="C2775" s="3"/>
      <c r="D2775" s="3"/>
      <c r="E2775" s="3"/>
      <c r="F2775" s="3"/>
      <c r="G2775" s="3"/>
      <c r="H2775" s="3"/>
      <c r="I2775" s="3"/>
      <c r="J2775" s="3"/>
      <c r="K2775" s="3"/>
      <c r="L2775" s="3"/>
      <c r="M2775" s="3"/>
      <c r="N2775" s="3"/>
    </row>
    <row r="2776" spans="1:14" ht="16.5" customHeight="1">
      <c r="A2776" s="3"/>
      <c r="B2776" s="3"/>
      <c r="C2776" s="3"/>
      <c r="D2776" s="3"/>
      <c r="E2776" s="3"/>
      <c r="F2776" s="3"/>
      <c r="G2776" s="3"/>
      <c r="H2776" s="3"/>
      <c r="I2776" s="3"/>
      <c r="J2776" s="3"/>
      <c r="K2776" s="3"/>
      <c r="L2776" s="3"/>
      <c r="M2776" s="3"/>
      <c r="N2776" s="3"/>
    </row>
    <row r="2777" spans="1:14" ht="16.5" customHeight="1">
      <c r="A2777" s="3"/>
      <c r="B2777" s="3"/>
      <c r="C2777" s="3"/>
      <c r="D2777" s="3"/>
      <c r="E2777" s="3"/>
      <c r="F2777" s="3"/>
      <c r="G2777" s="3"/>
      <c r="H2777" s="3"/>
      <c r="I2777" s="3"/>
      <c r="J2777" s="3"/>
      <c r="K2777" s="3"/>
      <c r="L2777" s="3"/>
      <c r="M2777" s="3"/>
      <c r="N2777" s="3"/>
    </row>
    <row r="2778" spans="1:14" ht="16.5" customHeight="1">
      <c r="A2778" s="3"/>
      <c r="B2778" s="3"/>
      <c r="C2778" s="3"/>
      <c r="D2778" s="3"/>
      <c r="E2778" s="3"/>
      <c r="F2778" s="3"/>
      <c r="G2778" s="3"/>
      <c r="H2778" s="3"/>
      <c r="I2778" s="3"/>
      <c r="J2778" s="3"/>
      <c r="K2778" s="3"/>
      <c r="L2778" s="3"/>
      <c r="M2778" s="3"/>
      <c r="N2778" s="3"/>
    </row>
    <row r="2779" spans="1:14" ht="16.5" customHeight="1">
      <c r="A2779" s="3"/>
      <c r="B2779" s="3"/>
      <c r="C2779" s="3"/>
      <c r="D2779" s="3"/>
      <c r="E2779" s="3"/>
      <c r="F2779" s="3"/>
      <c r="G2779" s="3"/>
      <c r="H2779" s="3"/>
      <c r="I2779" s="3"/>
      <c r="J2779" s="3"/>
      <c r="K2779" s="3"/>
      <c r="L2779" s="3"/>
      <c r="M2779" s="3"/>
      <c r="N2779" s="3"/>
    </row>
    <row r="2780" spans="1:14" ht="16.5" customHeight="1">
      <c r="A2780" s="3"/>
      <c r="B2780" s="3"/>
      <c r="C2780" s="3"/>
      <c r="D2780" s="3"/>
      <c r="E2780" s="3"/>
      <c r="F2780" s="3"/>
      <c r="G2780" s="3"/>
      <c r="H2780" s="3"/>
      <c r="I2780" s="3"/>
      <c r="J2780" s="3"/>
      <c r="K2780" s="3"/>
      <c r="L2780" s="3"/>
      <c r="M2780" s="3"/>
      <c r="N2780" s="3"/>
    </row>
    <row r="2781" spans="1:14" ht="16.5" customHeight="1">
      <c r="A2781" s="3"/>
      <c r="B2781" s="3"/>
      <c r="C2781" s="3"/>
      <c r="D2781" s="3"/>
      <c r="E2781" s="3"/>
      <c r="F2781" s="3"/>
      <c r="G2781" s="3"/>
      <c r="H2781" s="3"/>
      <c r="I2781" s="3"/>
      <c r="J2781" s="3"/>
      <c r="K2781" s="3"/>
      <c r="L2781" s="3"/>
      <c r="M2781" s="3"/>
      <c r="N2781" s="3"/>
    </row>
    <row r="2782" spans="1:14" ht="16.5" customHeight="1">
      <c r="A2782" s="3"/>
      <c r="B2782" s="3"/>
      <c r="C2782" s="3"/>
      <c r="D2782" s="3"/>
      <c r="E2782" s="3"/>
      <c r="F2782" s="3"/>
      <c r="G2782" s="3"/>
      <c r="H2782" s="3"/>
      <c r="I2782" s="3"/>
      <c r="J2782" s="3"/>
      <c r="K2782" s="3"/>
      <c r="L2782" s="3"/>
      <c r="M2782" s="3"/>
      <c r="N2782" s="3"/>
    </row>
    <row r="2783" spans="1:14" ht="16.5" customHeight="1">
      <c r="A2783" s="3"/>
      <c r="B2783" s="3"/>
      <c r="C2783" s="3"/>
      <c r="D2783" s="3"/>
      <c r="E2783" s="3"/>
      <c r="F2783" s="3"/>
      <c r="G2783" s="3"/>
      <c r="H2783" s="3"/>
      <c r="I2783" s="3"/>
      <c r="J2783" s="3"/>
      <c r="K2783" s="3"/>
      <c r="L2783" s="3"/>
      <c r="M2783" s="3"/>
      <c r="N2783" s="3"/>
    </row>
    <row r="2784" spans="1:14" ht="16.5" customHeight="1">
      <c r="A2784" s="3"/>
      <c r="B2784" s="3"/>
      <c r="C2784" s="3"/>
      <c r="D2784" s="3"/>
      <c r="E2784" s="3"/>
      <c r="F2784" s="3"/>
      <c r="G2784" s="3"/>
      <c r="H2784" s="3"/>
      <c r="I2784" s="3"/>
      <c r="J2784" s="3"/>
      <c r="K2784" s="3"/>
      <c r="L2784" s="3"/>
      <c r="M2784" s="3"/>
      <c r="N2784" s="3"/>
    </row>
    <row r="2785" spans="1:14" ht="16.5" customHeight="1">
      <c r="A2785" s="3"/>
      <c r="B2785" s="3"/>
      <c r="C2785" s="3"/>
      <c r="D2785" s="3"/>
      <c r="E2785" s="3"/>
      <c r="F2785" s="3"/>
      <c r="G2785" s="3"/>
      <c r="H2785" s="3"/>
      <c r="I2785" s="3"/>
      <c r="J2785" s="3"/>
      <c r="K2785" s="3"/>
      <c r="L2785" s="3"/>
      <c r="M2785" s="3"/>
      <c r="N2785" s="3"/>
    </row>
    <row r="2786" spans="1:14" ht="16.5" customHeight="1">
      <c r="A2786" s="3"/>
      <c r="B2786" s="3"/>
      <c r="C2786" s="3"/>
      <c r="D2786" s="3"/>
      <c r="E2786" s="3"/>
      <c r="F2786" s="3"/>
      <c r="G2786" s="3"/>
      <c r="H2786" s="3"/>
      <c r="I2786" s="3"/>
      <c r="J2786" s="3"/>
      <c r="K2786" s="3"/>
      <c r="L2786" s="3"/>
      <c r="M2786" s="3"/>
      <c r="N2786" s="3"/>
    </row>
    <row r="2787" spans="1:14" ht="16.5" customHeight="1">
      <c r="A2787" s="3"/>
      <c r="B2787" s="3"/>
      <c r="C2787" s="3"/>
      <c r="D2787" s="3"/>
      <c r="E2787" s="3"/>
      <c r="F2787" s="3"/>
      <c r="G2787" s="3"/>
      <c r="H2787" s="3"/>
      <c r="I2787" s="3"/>
      <c r="J2787" s="3"/>
      <c r="K2787" s="3"/>
      <c r="L2787" s="3"/>
      <c r="M2787" s="3"/>
      <c r="N2787" s="3"/>
    </row>
    <row r="2788" spans="1:14" ht="16.5" customHeight="1">
      <c r="A2788" s="3"/>
      <c r="B2788" s="3"/>
      <c r="C2788" s="3"/>
      <c r="D2788" s="3"/>
      <c r="E2788" s="3"/>
      <c r="F2788" s="3"/>
      <c r="G2788" s="3"/>
      <c r="H2788" s="3"/>
      <c r="I2788" s="3"/>
      <c r="J2788" s="3"/>
      <c r="K2788" s="3"/>
      <c r="L2788" s="3"/>
      <c r="M2788" s="3"/>
      <c r="N2788" s="3"/>
    </row>
    <row r="2789" spans="1:14" ht="16.5" customHeight="1">
      <c r="A2789" s="3"/>
      <c r="B2789" s="3"/>
      <c r="C2789" s="3"/>
      <c r="D2789" s="3"/>
      <c r="E2789" s="3"/>
      <c r="F2789" s="3"/>
      <c r="G2789" s="3"/>
      <c r="H2789" s="3"/>
      <c r="I2789" s="3"/>
      <c r="J2789" s="3"/>
      <c r="K2789" s="3"/>
      <c r="L2789" s="3"/>
      <c r="M2789" s="3"/>
      <c r="N2789" s="3"/>
    </row>
    <row r="2790" spans="1:14" ht="16.5" customHeight="1">
      <c r="A2790" s="3"/>
      <c r="B2790" s="3"/>
      <c r="C2790" s="3"/>
      <c r="D2790" s="3"/>
      <c r="E2790" s="3"/>
      <c r="F2790" s="3"/>
      <c r="G2790" s="3"/>
      <c r="H2790" s="3"/>
      <c r="I2790" s="3"/>
      <c r="J2790" s="3"/>
      <c r="K2790" s="3"/>
      <c r="L2790" s="3"/>
      <c r="M2790" s="3"/>
      <c r="N2790" s="3"/>
    </row>
    <row r="2791" spans="1:14" ht="16.5" customHeight="1">
      <c r="A2791" s="3"/>
      <c r="B2791" s="3"/>
      <c r="C2791" s="3"/>
      <c r="D2791" s="3"/>
      <c r="E2791" s="3"/>
      <c r="F2791" s="3"/>
      <c r="G2791" s="3"/>
      <c r="H2791" s="3"/>
      <c r="I2791" s="3"/>
      <c r="J2791" s="3"/>
      <c r="K2791" s="3"/>
      <c r="L2791" s="3"/>
      <c r="M2791" s="3"/>
      <c r="N2791" s="3"/>
    </row>
    <row r="2792" spans="1:14" ht="16.5" customHeight="1">
      <c r="A2792" s="3"/>
      <c r="B2792" s="3"/>
      <c r="C2792" s="3"/>
      <c r="D2792" s="3"/>
      <c r="E2792" s="3"/>
      <c r="F2792" s="3"/>
      <c r="G2792" s="3"/>
      <c r="H2792" s="3"/>
      <c r="I2792" s="3"/>
      <c r="J2792" s="3"/>
      <c r="K2792" s="3"/>
      <c r="L2792" s="3"/>
      <c r="M2792" s="3"/>
      <c r="N2792" s="3"/>
    </row>
    <row r="2793" spans="1:14" ht="16.5" customHeight="1">
      <c r="A2793" s="3"/>
      <c r="B2793" s="3"/>
      <c r="C2793" s="3"/>
      <c r="D2793" s="3"/>
      <c r="E2793" s="3"/>
      <c r="F2793" s="3"/>
      <c r="G2793" s="3"/>
      <c r="H2793" s="3"/>
      <c r="I2793" s="3"/>
      <c r="J2793" s="3"/>
      <c r="K2793" s="3"/>
      <c r="L2793" s="3"/>
      <c r="M2793" s="3"/>
      <c r="N2793" s="3"/>
    </row>
    <row r="2794" spans="1:14" ht="16.5" customHeight="1">
      <c r="A2794" s="3"/>
      <c r="B2794" s="3"/>
      <c r="C2794" s="3"/>
      <c r="D2794" s="3"/>
      <c r="E2794" s="3"/>
      <c r="F2794" s="3"/>
      <c r="G2794" s="3"/>
      <c r="H2794" s="3"/>
      <c r="I2794" s="3"/>
      <c r="J2794" s="3"/>
      <c r="K2794" s="3"/>
      <c r="L2794" s="3"/>
      <c r="M2794" s="3"/>
      <c r="N2794" s="3"/>
    </row>
    <row r="2795" spans="1:14" ht="16.5" customHeight="1">
      <c r="A2795" s="3"/>
      <c r="B2795" s="3"/>
      <c r="C2795" s="3"/>
      <c r="D2795" s="3"/>
      <c r="E2795" s="3"/>
      <c r="F2795" s="3"/>
      <c r="G2795" s="3"/>
      <c r="H2795" s="3"/>
      <c r="I2795" s="3"/>
      <c r="J2795" s="3"/>
      <c r="K2795" s="3"/>
      <c r="L2795" s="3"/>
      <c r="M2795" s="3"/>
      <c r="N2795" s="3"/>
    </row>
    <row r="2796" spans="1:14" ht="16.5" customHeight="1">
      <c r="A2796" s="3"/>
      <c r="B2796" s="3"/>
      <c r="C2796" s="3"/>
      <c r="D2796" s="3"/>
      <c r="E2796" s="3"/>
      <c r="F2796" s="3"/>
      <c r="G2796" s="3"/>
      <c r="H2796" s="3"/>
      <c r="I2796" s="3"/>
      <c r="J2796" s="3"/>
      <c r="K2796" s="3"/>
      <c r="L2796" s="3"/>
      <c r="M2796" s="3"/>
      <c r="N2796" s="3"/>
    </row>
    <row r="2797" spans="1:14" ht="16.5" customHeight="1">
      <c r="A2797" s="3"/>
      <c r="B2797" s="3"/>
      <c r="C2797" s="3"/>
      <c r="D2797" s="3"/>
      <c r="E2797" s="3"/>
      <c r="F2797" s="3"/>
      <c r="G2797" s="3"/>
      <c r="H2797" s="3"/>
      <c r="I2797" s="3"/>
      <c r="J2797" s="3"/>
      <c r="K2797" s="3"/>
      <c r="L2797" s="3"/>
      <c r="M2797" s="3"/>
      <c r="N2797" s="3"/>
    </row>
    <row r="2798" spans="1:14" ht="16.5" customHeight="1">
      <c r="A2798" s="3"/>
      <c r="B2798" s="3"/>
      <c r="C2798" s="3"/>
      <c r="D2798" s="3"/>
      <c r="E2798" s="3"/>
      <c r="F2798" s="3"/>
      <c r="G2798" s="3"/>
      <c r="H2798" s="3"/>
      <c r="I2798" s="3"/>
      <c r="J2798" s="3"/>
      <c r="K2798" s="3"/>
      <c r="L2798" s="3"/>
      <c r="M2798" s="3"/>
      <c r="N2798" s="3"/>
    </row>
    <row r="2799" spans="1:14" ht="16.5" customHeight="1">
      <c r="A2799" s="3"/>
      <c r="B2799" s="3"/>
      <c r="C2799" s="3"/>
      <c r="D2799" s="3"/>
      <c r="E2799" s="3"/>
      <c r="F2799" s="3"/>
      <c r="G2799" s="3"/>
      <c r="H2799" s="3"/>
      <c r="I2799" s="3"/>
      <c r="J2799" s="3"/>
      <c r="K2799" s="3"/>
      <c r="L2799" s="3"/>
      <c r="M2799" s="3"/>
      <c r="N2799" s="3"/>
    </row>
    <row r="2800" spans="1:14" ht="16.5" customHeight="1">
      <c r="A2800" s="3"/>
      <c r="B2800" s="3"/>
      <c r="C2800" s="3"/>
      <c r="D2800" s="3"/>
      <c r="E2800" s="3"/>
      <c r="F2800" s="3"/>
      <c r="G2800" s="3"/>
      <c r="H2800" s="3"/>
      <c r="I2800" s="3"/>
      <c r="J2800" s="3"/>
      <c r="K2800" s="3"/>
      <c r="L2800" s="3"/>
      <c r="M2800" s="3"/>
      <c r="N2800" s="3"/>
    </row>
    <row r="2801" spans="1:14" ht="16.5" customHeight="1">
      <c r="A2801" s="3"/>
      <c r="B2801" s="3"/>
      <c r="C2801" s="3"/>
      <c r="D2801" s="3"/>
      <c r="E2801" s="3"/>
      <c r="F2801" s="3"/>
      <c r="G2801" s="3"/>
      <c r="H2801" s="3"/>
      <c r="I2801" s="3"/>
      <c r="J2801" s="3"/>
      <c r="K2801" s="3"/>
      <c r="L2801" s="3"/>
      <c r="M2801" s="3"/>
      <c r="N2801" s="3"/>
    </row>
    <row r="2802" spans="1:14" ht="16.5" customHeight="1">
      <c r="A2802" s="3"/>
      <c r="B2802" s="3"/>
      <c r="C2802" s="3"/>
      <c r="D2802" s="3"/>
      <c r="E2802" s="3"/>
      <c r="F2802" s="3"/>
      <c r="G2802" s="3"/>
      <c r="H2802" s="3"/>
      <c r="I2802" s="3"/>
      <c r="J2802" s="3"/>
      <c r="K2802" s="3"/>
      <c r="L2802" s="3"/>
      <c r="M2802" s="3"/>
      <c r="N2802" s="3"/>
    </row>
    <row r="2803" spans="1:14" ht="16.5" customHeight="1">
      <c r="A2803" s="3"/>
      <c r="B2803" s="3"/>
      <c r="C2803" s="3"/>
      <c r="D2803" s="3"/>
      <c r="E2803" s="3"/>
      <c r="F2803" s="3"/>
      <c r="G2803" s="3"/>
      <c r="H2803" s="3"/>
      <c r="I2803" s="3"/>
      <c r="J2803" s="3"/>
      <c r="K2803" s="3"/>
      <c r="L2803" s="3"/>
      <c r="M2803" s="3"/>
      <c r="N2803" s="3"/>
    </row>
    <row r="2804" spans="1:14" ht="16.5" customHeight="1">
      <c r="A2804" s="3"/>
      <c r="B2804" s="3"/>
      <c r="C2804" s="3"/>
      <c r="D2804" s="3"/>
      <c r="E2804" s="3"/>
      <c r="F2804" s="3"/>
      <c r="G2804" s="3"/>
      <c r="H2804" s="3"/>
      <c r="I2804" s="3"/>
      <c r="J2804" s="3"/>
      <c r="K2804" s="3"/>
      <c r="L2804" s="3"/>
      <c r="M2804" s="3"/>
      <c r="N2804" s="3"/>
    </row>
    <row r="2805" spans="1:14" ht="16.5" customHeight="1">
      <c r="A2805" s="3"/>
      <c r="B2805" s="3"/>
      <c r="C2805" s="3"/>
      <c r="D2805" s="3"/>
      <c r="E2805" s="3"/>
      <c r="F2805" s="3"/>
      <c r="G2805" s="3"/>
      <c r="H2805" s="3"/>
      <c r="I2805" s="3"/>
      <c r="J2805" s="3"/>
      <c r="K2805" s="3"/>
      <c r="L2805" s="3"/>
      <c r="M2805" s="3"/>
      <c r="N2805" s="3"/>
    </row>
    <row r="2806" spans="1:14" ht="16.5" customHeight="1">
      <c r="A2806" s="3"/>
      <c r="B2806" s="3"/>
      <c r="C2806" s="3"/>
      <c r="D2806" s="3"/>
      <c r="E2806" s="3"/>
      <c r="F2806" s="3"/>
      <c r="G2806" s="3"/>
      <c r="H2806" s="3"/>
      <c r="I2806" s="3"/>
      <c r="J2806" s="3"/>
      <c r="K2806" s="3"/>
      <c r="L2806" s="3"/>
      <c r="M2806" s="3"/>
      <c r="N2806" s="3"/>
    </row>
    <row r="2807" spans="1:14" ht="16.5" customHeight="1">
      <c r="A2807" s="3"/>
      <c r="B2807" s="3"/>
      <c r="C2807" s="3"/>
      <c r="D2807" s="3"/>
      <c r="E2807" s="3"/>
      <c r="F2807" s="3"/>
      <c r="G2807" s="3"/>
      <c r="H2807" s="3"/>
      <c r="I2807" s="3"/>
      <c r="J2807" s="3"/>
      <c r="K2807" s="3"/>
      <c r="L2807" s="3"/>
      <c r="M2807" s="3"/>
      <c r="N2807" s="3"/>
    </row>
    <row r="2808" spans="1:14" ht="16.5" customHeight="1">
      <c r="A2808" s="3"/>
      <c r="B2808" s="3"/>
      <c r="C2808" s="3"/>
      <c r="D2808" s="3"/>
      <c r="E2808" s="3"/>
      <c r="F2808" s="3"/>
      <c r="G2808" s="3"/>
      <c r="H2808" s="3"/>
      <c r="I2808" s="3"/>
      <c r="J2808" s="3"/>
      <c r="K2808" s="3"/>
      <c r="L2808" s="3"/>
      <c r="M2808" s="3"/>
      <c r="N2808" s="3"/>
    </row>
    <row r="2809" spans="1:14" ht="16.5" customHeight="1">
      <c r="A2809" s="3"/>
      <c r="B2809" s="3"/>
      <c r="C2809" s="3"/>
      <c r="D2809" s="3"/>
      <c r="E2809" s="3"/>
      <c r="F2809" s="3"/>
      <c r="G2809" s="3"/>
      <c r="H2809" s="3"/>
      <c r="I2809" s="3"/>
      <c r="J2809" s="3"/>
      <c r="K2809" s="3"/>
      <c r="L2809" s="3"/>
      <c r="M2809" s="3"/>
      <c r="N2809" s="3"/>
    </row>
    <row r="2810" spans="1:14" ht="16.5" customHeight="1">
      <c r="A2810" s="3"/>
      <c r="B2810" s="3"/>
      <c r="C2810" s="3"/>
      <c r="D2810" s="3"/>
      <c r="E2810" s="3"/>
      <c r="F2810" s="3"/>
      <c r="G2810" s="3"/>
      <c r="H2810" s="3"/>
      <c r="I2810" s="3"/>
      <c r="J2810" s="3"/>
      <c r="K2810" s="3"/>
      <c r="L2810" s="3"/>
      <c r="M2810" s="3"/>
      <c r="N2810" s="3"/>
    </row>
    <row r="2811" spans="1:14" ht="16.5" customHeight="1">
      <c r="A2811" s="3"/>
      <c r="B2811" s="3"/>
      <c r="C2811" s="3"/>
      <c r="D2811" s="3"/>
      <c r="E2811" s="3"/>
      <c r="F2811" s="3"/>
      <c r="G2811" s="3"/>
      <c r="H2811" s="3"/>
      <c r="I2811" s="3"/>
      <c r="J2811" s="3"/>
      <c r="K2811" s="3"/>
      <c r="L2811" s="3"/>
      <c r="M2811" s="3"/>
      <c r="N2811" s="3"/>
    </row>
    <row r="2812" spans="1:14" ht="16.5" customHeight="1">
      <c r="A2812" s="3"/>
      <c r="B2812" s="3"/>
      <c r="C2812" s="3"/>
      <c r="D2812" s="3"/>
      <c r="E2812" s="3"/>
      <c r="F2812" s="3"/>
      <c r="G2812" s="3"/>
      <c r="H2812" s="3"/>
      <c r="I2812" s="3"/>
      <c r="J2812" s="3"/>
      <c r="K2812" s="3"/>
      <c r="L2812" s="3"/>
      <c r="M2812" s="3"/>
      <c r="N2812" s="3"/>
    </row>
    <row r="2813" spans="1:14" ht="16.5" customHeight="1">
      <c r="A2813" s="3"/>
      <c r="B2813" s="3"/>
      <c r="C2813" s="3"/>
      <c r="D2813" s="3"/>
      <c r="E2813" s="3"/>
      <c r="F2813" s="3"/>
      <c r="G2813" s="3"/>
      <c r="H2813" s="3"/>
      <c r="I2813" s="3"/>
      <c r="J2813" s="3"/>
      <c r="K2813" s="3"/>
      <c r="L2813" s="3"/>
      <c r="M2813" s="3"/>
      <c r="N2813" s="3"/>
    </row>
    <row r="2814" spans="1:14" ht="16.5" customHeight="1">
      <c r="A2814" s="3"/>
      <c r="B2814" s="3"/>
      <c r="C2814" s="3"/>
      <c r="D2814" s="3"/>
      <c r="E2814" s="3"/>
      <c r="F2814" s="3"/>
      <c r="G2814" s="3"/>
      <c r="H2814" s="3"/>
      <c r="I2814" s="3"/>
      <c r="J2814" s="3"/>
      <c r="K2814" s="3"/>
      <c r="L2814" s="3"/>
      <c r="M2814" s="3"/>
      <c r="N2814" s="3"/>
    </row>
    <row r="2815" spans="1:14" ht="16.5" customHeight="1">
      <c r="A2815" s="3"/>
      <c r="B2815" s="3"/>
      <c r="C2815" s="3"/>
      <c r="D2815" s="3"/>
      <c r="E2815" s="3"/>
      <c r="F2815" s="3"/>
      <c r="G2815" s="3"/>
      <c r="H2815" s="3"/>
      <c r="I2815" s="3"/>
      <c r="J2815" s="3"/>
      <c r="K2815" s="3"/>
      <c r="L2815" s="3"/>
      <c r="M2815" s="3"/>
      <c r="N2815" s="3"/>
    </row>
    <row r="2816" spans="1:14" ht="16.5" customHeight="1">
      <c r="A2816" s="3"/>
      <c r="B2816" s="3"/>
      <c r="C2816" s="3"/>
      <c r="D2816" s="3"/>
      <c r="E2816" s="3"/>
      <c r="F2816" s="3"/>
      <c r="G2816" s="3"/>
      <c r="H2816" s="3"/>
      <c r="I2816" s="3"/>
      <c r="J2816" s="3"/>
      <c r="K2816" s="3"/>
      <c r="L2816" s="3"/>
      <c r="M2816" s="3"/>
      <c r="N2816" s="3"/>
    </row>
    <row r="2817" spans="1:14" ht="16.5" customHeight="1">
      <c r="A2817" s="3"/>
      <c r="B2817" s="3"/>
      <c r="C2817" s="3"/>
      <c r="D2817" s="3"/>
      <c r="E2817" s="3"/>
      <c r="F2817" s="3"/>
      <c r="G2817" s="3"/>
      <c r="H2817" s="3"/>
      <c r="I2817" s="3"/>
      <c r="J2817" s="3"/>
      <c r="K2817" s="3"/>
      <c r="L2817" s="3"/>
      <c r="M2817" s="3"/>
      <c r="N2817" s="3"/>
    </row>
    <row r="2818" spans="1:14" ht="16.5" customHeight="1">
      <c r="A2818" s="3"/>
      <c r="B2818" s="3"/>
      <c r="C2818" s="3"/>
      <c r="D2818" s="3"/>
      <c r="E2818" s="3"/>
      <c r="F2818" s="3"/>
      <c r="G2818" s="3"/>
      <c r="H2818" s="3"/>
      <c r="I2818" s="3"/>
      <c r="J2818" s="3"/>
      <c r="K2818" s="3"/>
      <c r="L2818" s="3"/>
      <c r="M2818" s="3"/>
      <c r="N2818" s="3"/>
    </row>
    <row r="2819" spans="1:14" ht="16.5" customHeight="1">
      <c r="A2819" s="3"/>
      <c r="B2819" s="3"/>
      <c r="C2819" s="3"/>
      <c r="D2819" s="3"/>
      <c r="E2819" s="3"/>
      <c r="F2819" s="3"/>
      <c r="G2819" s="3"/>
      <c r="H2819" s="3"/>
      <c r="I2819" s="3"/>
      <c r="J2819" s="3"/>
      <c r="K2819" s="3"/>
      <c r="L2819" s="3"/>
      <c r="M2819" s="3"/>
      <c r="N2819" s="3"/>
    </row>
    <row r="2820" spans="1:14" ht="16.5" customHeight="1">
      <c r="A2820" s="3"/>
      <c r="B2820" s="3"/>
      <c r="C2820" s="3"/>
      <c r="D2820" s="3"/>
      <c r="E2820" s="3"/>
      <c r="F2820" s="3"/>
      <c r="G2820" s="3"/>
      <c r="H2820" s="3"/>
      <c r="I2820" s="3"/>
      <c r="J2820" s="3"/>
      <c r="K2820" s="3"/>
      <c r="L2820" s="3"/>
      <c r="M2820" s="3"/>
      <c r="N2820" s="3"/>
    </row>
    <row r="2821" spans="1:14" ht="16.5" customHeight="1">
      <c r="A2821" s="3"/>
      <c r="B2821" s="3"/>
      <c r="C2821" s="3"/>
      <c r="D2821" s="3"/>
      <c r="E2821" s="3"/>
      <c r="F2821" s="3"/>
      <c r="G2821" s="3"/>
      <c r="H2821" s="3"/>
      <c r="I2821" s="3"/>
      <c r="J2821" s="3"/>
      <c r="K2821" s="3"/>
      <c r="L2821" s="3"/>
      <c r="M2821" s="3"/>
      <c r="N2821" s="3"/>
    </row>
    <row r="2822" spans="1:14" ht="16.5" customHeight="1">
      <c r="A2822" s="3"/>
      <c r="B2822" s="3"/>
      <c r="C2822" s="3"/>
      <c r="D2822" s="3"/>
      <c r="E2822" s="3"/>
      <c r="F2822" s="3"/>
      <c r="G2822" s="3"/>
      <c r="H2822" s="3"/>
      <c r="I2822" s="3"/>
      <c r="J2822" s="3"/>
      <c r="K2822" s="3"/>
      <c r="L2822" s="3"/>
      <c r="M2822" s="3"/>
      <c r="N2822" s="3"/>
    </row>
    <row r="2823" spans="1:14" ht="16.5" customHeight="1">
      <c r="A2823" s="3"/>
      <c r="B2823" s="3"/>
      <c r="C2823" s="3"/>
      <c r="D2823" s="3"/>
      <c r="E2823" s="3"/>
      <c r="F2823" s="3"/>
      <c r="G2823" s="3"/>
      <c r="H2823" s="3"/>
      <c r="I2823" s="3"/>
      <c r="J2823" s="3"/>
      <c r="K2823" s="3"/>
      <c r="L2823" s="3"/>
      <c r="M2823" s="3"/>
      <c r="N2823" s="3"/>
    </row>
    <row r="2824" spans="1:14" ht="16.5" customHeight="1">
      <c r="A2824" s="3"/>
      <c r="B2824" s="3"/>
      <c r="C2824" s="3"/>
      <c r="D2824" s="3"/>
      <c r="E2824" s="3"/>
      <c r="F2824" s="3"/>
      <c r="G2824" s="3"/>
      <c r="H2824" s="3"/>
      <c r="I2824" s="3"/>
      <c r="J2824" s="3"/>
      <c r="K2824" s="3"/>
      <c r="L2824" s="3"/>
      <c r="M2824" s="3"/>
      <c r="N2824" s="3"/>
    </row>
    <row r="2825" spans="1:14" ht="16.5" customHeight="1">
      <c r="A2825" s="3"/>
      <c r="B2825" s="3"/>
      <c r="C2825" s="3"/>
      <c r="D2825" s="3"/>
      <c r="E2825" s="3"/>
      <c r="F2825" s="3"/>
      <c r="G2825" s="3"/>
      <c r="H2825" s="3"/>
      <c r="I2825" s="3"/>
      <c r="J2825" s="3"/>
      <c r="K2825" s="3"/>
      <c r="L2825" s="3"/>
      <c r="M2825" s="3"/>
      <c r="N2825" s="3"/>
    </row>
    <row r="2826" spans="1:14" ht="16.5" customHeight="1">
      <c r="A2826" s="3"/>
      <c r="B2826" s="3"/>
      <c r="C2826" s="3"/>
      <c r="D2826" s="3"/>
      <c r="E2826" s="3"/>
      <c r="F2826" s="3"/>
      <c r="G2826" s="3"/>
      <c r="H2826" s="3"/>
      <c r="I2826" s="3"/>
      <c r="J2826" s="3"/>
      <c r="K2826" s="3"/>
      <c r="L2826" s="3"/>
      <c r="M2826" s="3"/>
      <c r="N2826" s="3"/>
    </row>
    <row r="2827" spans="1:14" ht="16.5" customHeight="1">
      <c r="A2827" s="3"/>
      <c r="B2827" s="3"/>
      <c r="C2827" s="3"/>
      <c r="D2827" s="3"/>
      <c r="E2827" s="3"/>
      <c r="F2827" s="3"/>
      <c r="G2827" s="3"/>
      <c r="H2827" s="3"/>
      <c r="I2827" s="3"/>
      <c r="J2827" s="3"/>
      <c r="K2827" s="3"/>
      <c r="L2827" s="3"/>
      <c r="M2827" s="3"/>
      <c r="N2827" s="3"/>
    </row>
    <row r="2828" spans="1:14" ht="16.5" customHeight="1">
      <c r="A2828" s="3"/>
      <c r="B2828" s="3"/>
      <c r="C2828" s="3"/>
      <c r="D2828" s="3"/>
      <c r="E2828" s="3"/>
      <c r="F2828" s="3"/>
      <c r="G2828" s="3"/>
      <c r="H2828" s="3"/>
      <c r="I2828" s="3"/>
      <c r="J2828" s="3"/>
      <c r="K2828" s="3"/>
      <c r="L2828" s="3"/>
      <c r="M2828" s="3"/>
      <c r="N2828" s="3"/>
    </row>
    <row r="2829" spans="1:14" ht="16.5" customHeight="1">
      <c r="A2829" s="3"/>
      <c r="B2829" s="3"/>
      <c r="C2829" s="3"/>
      <c r="D2829" s="3"/>
      <c r="E2829" s="3"/>
      <c r="F2829" s="3"/>
      <c r="G2829" s="3"/>
      <c r="H2829" s="3"/>
      <c r="I2829" s="3"/>
      <c r="J2829" s="3"/>
      <c r="K2829" s="3"/>
      <c r="L2829" s="3"/>
      <c r="M2829" s="3"/>
      <c r="N2829" s="3"/>
    </row>
    <row r="2830" spans="1:14" ht="16.5" customHeight="1">
      <c r="A2830" s="3"/>
      <c r="B2830" s="3"/>
      <c r="C2830" s="3"/>
      <c r="D2830" s="3"/>
      <c r="E2830" s="3"/>
      <c r="F2830" s="3"/>
      <c r="G2830" s="3"/>
      <c r="H2830" s="3"/>
      <c r="I2830" s="3"/>
      <c r="J2830" s="3"/>
      <c r="K2830" s="3"/>
      <c r="L2830" s="3"/>
      <c r="M2830" s="3"/>
      <c r="N2830" s="3"/>
    </row>
    <row r="2831" spans="1:14" ht="16.5" customHeight="1">
      <c r="A2831" s="3"/>
      <c r="B2831" s="3"/>
      <c r="C2831" s="3"/>
      <c r="D2831" s="3"/>
      <c r="E2831" s="3"/>
      <c r="F2831" s="3"/>
      <c r="G2831" s="3"/>
      <c r="H2831" s="3"/>
      <c r="I2831" s="3"/>
      <c r="J2831" s="3"/>
      <c r="K2831" s="3"/>
      <c r="L2831" s="3"/>
      <c r="M2831" s="3"/>
      <c r="N2831" s="3"/>
    </row>
    <row r="2832" spans="1:14" ht="16.5" customHeight="1">
      <c r="A2832" s="3"/>
      <c r="B2832" s="3"/>
      <c r="C2832" s="3"/>
      <c r="D2832" s="3"/>
      <c r="E2832" s="3"/>
      <c r="F2832" s="3"/>
      <c r="G2832" s="3"/>
      <c r="H2832" s="3"/>
      <c r="I2832" s="3"/>
      <c r="J2832" s="3"/>
      <c r="K2832" s="3"/>
      <c r="L2832" s="3"/>
      <c r="M2832" s="3"/>
      <c r="N2832" s="3"/>
    </row>
    <row r="2833" spans="1:14" ht="16.5" customHeight="1">
      <c r="A2833" s="3"/>
      <c r="B2833" s="3"/>
      <c r="C2833" s="3"/>
      <c r="D2833" s="3"/>
      <c r="E2833" s="3"/>
      <c r="F2833" s="3"/>
      <c r="G2833" s="3"/>
      <c r="H2833" s="3"/>
      <c r="I2833" s="3"/>
      <c r="J2833" s="3"/>
      <c r="K2833" s="3"/>
      <c r="L2833" s="3"/>
      <c r="M2833" s="3"/>
      <c r="N2833" s="3"/>
    </row>
    <row r="2834" spans="1:14" ht="16.5" customHeight="1">
      <c r="A2834" s="3"/>
      <c r="B2834" s="3"/>
      <c r="C2834" s="3"/>
      <c r="D2834" s="3"/>
      <c r="E2834" s="3"/>
      <c r="F2834" s="3"/>
      <c r="G2834" s="3"/>
      <c r="H2834" s="3"/>
      <c r="I2834" s="3"/>
      <c r="J2834" s="3"/>
      <c r="K2834" s="3"/>
      <c r="L2834" s="3"/>
      <c r="M2834" s="3"/>
      <c r="N2834" s="3"/>
    </row>
    <row r="2835" spans="1:14" ht="16.5" customHeight="1">
      <c r="A2835" s="3"/>
      <c r="B2835" s="3"/>
      <c r="C2835" s="3"/>
      <c r="D2835" s="3"/>
      <c r="E2835" s="3"/>
      <c r="F2835" s="3"/>
      <c r="G2835" s="3"/>
      <c r="H2835" s="3"/>
      <c r="I2835" s="3"/>
      <c r="J2835" s="3"/>
      <c r="K2835" s="3"/>
      <c r="L2835" s="3"/>
      <c r="M2835" s="3"/>
      <c r="N2835" s="3"/>
    </row>
    <row r="2836" spans="1:14" ht="16.5" customHeight="1">
      <c r="A2836" s="3"/>
      <c r="B2836" s="3"/>
      <c r="C2836" s="3"/>
      <c r="D2836" s="3"/>
      <c r="E2836" s="3"/>
      <c r="F2836" s="3"/>
      <c r="G2836" s="3"/>
      <c r="H2836" s="3"/>
      <c r="I2836" s="3"/>
      <c r="J2836" s="3"/>
      <c r="K2836" s="3"/>
      <c r="L2836" s="3"/>
      <c r="M2836" s="3"/>
      <c r="N2836" s="3"/>
    </row>
    <row r="2837" spans="1:14" ht="16.5" customHeight="1">
      <c r="A2837" s="3"/>
      <c r="B2837" s="3"/>
      <c r="C2837" s="3"/>
      <c r="D2837" s="3"/>
      <c r="E2837" s="3"/>
      <c r="F2837" s="3"/>
      <c r="G2837" s="3"/>
      <c r="H2837" s="3"/>
      <c r="I2837" s="3"/>
      <c r="J2837" s="3"/>
      <c r="K2837" s="3"/>
      <c r="L2837" s="3"/>
      <c r="M2837" s="3"/>
      <c r="N2837" s="3"/>
    </row>
    <row r="2838" spans="1:14" ht="16.5" customHeight="1">
      <c r="A2838" s="3"/>
      <c r="B2838" s="3"/>
      <c r="C2838" s="3"/>
      <c r="D2838" s="3"/>
      <c r="E2838" s="3"/>
      <c r="F2838" s="3"/>
      <c r="G2838" s="3"/>
      <c r="H2838" s="3"/>
      <c r="I2838" s="3"/>
      <c r="J2838" s="3"/>
      <c r="K2838" s="3"/>
      <c r="L2838" s="3"/>
      <c r="M2838" s="3"/>
      <c r="N2838" s="3"/>
    </row>
    <row r="2839" spans="1:14" ht="16.5" customHeight="1">
      <c r="A2839" s="3"/>
      <c r="B2839" s="3"/>
      <c r="C2839" s="3"/>
      <c r="D2839" s="3"/>
      <c r="E2839" s="3"/>
      <c r="F2839" s="3"/>
      <c r="G2839" s="3"/>
      <c r="H2839" s="3"/>
      <c r="I2839" s="3"/>
      <c r="J2839" s="3"/>
      <c r="K2839" s="3"/>
      <c r="L2839" s="3"/>
      <c r="M2839" s="3"/>
      <c r="N2839" s="3"/>
    </row>
    <row r="2840" spans="1:14" ht="16.5" customHeight="1">
      <c r="A2840" s="3"/>
      <c r="B2840" s="3"/>
      <c r="C2840" s="3"/>
      <c r="D2840" s="3"/>
      <c r="E2840" s="3"/>
      <c r="F2840" s="3"/>
      <c r="G2840" s="3"/>
      <c r="H2840" s="3"/>
      <c r="I2840" s="3"/>
      <c r="J2840" s="3"/>
      <c r="K2840" s="3"/>
      <c r="L2840" s="3"/>
      <c r="M2840" s="3"/>
      <c r="N2840" s="3"/>
    </row>
    <row r="2841" spans="1:14" ht="16.5" customHeight="1">
      <c r="A2841" s="3"/>
      <c r="B2841" s="3"/>
      <c r="C2841" s="3"/>
      <c r="D2841" s="3"/>
      <c r="E2841" s="3"/>
      <c r="F2841" s="3"/>
      <c r="G2841" s="3"/>
      <c r="H2841" s="3"/>
      <c r="I2841" s="3"/>
      <c r="J2841" s="3"/>
      <c r="K2841" s="3"/>
      <c r="L2841" s="3"/>
      <c r="M2841" s="3"/>
      <c r="N2841" s="3"/>
    </row>
    <row r="2842" spans="1:14" ht="16.5" customHeight="1">
      <c r="A2842" s="3"/>
      <c r="B2842" s="3"/>
      <c r="C2842" s="3"/>
      <c r="D2842" s="3"/>
      <c r="E2842" s="3"/>
      <c r="F2842" s="3"/>
      <c r="G2842" s="3"/>
      <c r="H2842" s="3"/>
      <c r="I2842" s="3"/>
      <c r="J2842" s="3"/>
      <c r="K2842" s="3"/>
      <c r="L2842" s="3"/>
      <c r="M2842" s="3"/>
      <c r="N2842" s="3"/>
    </row>
    <row r="2843" spans="1:14" ht="16.5" customHeight="1">
      <c r="A2843" s="3"/>
      <c r="B2843" s="3"/>
      <c r="C2843" s="3"/>
      <c r="D2843" s="3"/>
      <c r="E2843" s="3"/>
      <c r="F2843" s="3"/>
      <c r="G2843" s="3"/>
      <c r="H2843" s="3"/>
      <c r="I2843" s="3"/>
      <c r="J2843" s="3"/>
      <c r="K2843" s="3"/>
      <c r="L2843" s="3"/>
      <c r="M2843" s="3"/>
      <c r="N2843" s="3"/>
    </row>
    <row r="2844" spans="1:14" ht="16.5" customHeight="1">
      <c r="A2844" s="3"/>
      <c r="B2844" s="3"/>
      <c r="C2844" s="3"/>
      <c r="D2844" s="3"/>
      <c r="E2844" s="3"/>
      <c r="F2844" s="3"/>
      <c r="G2844" s="3"/>
      <c r="H2844" s="3"/>
      <c r="I2844" s="3"/>
      <c r="J2844" s="3"/>
      <c r="K2844" s="3"/>
      <c r="L2844" s="3"/>
      <c r="M2844" s="3"/>
      <c r="N2844" s="3"/>
    </row>
    <row r="2845" spans="1:14" ht="16.5" customHeight="1">
      <c r="A2845" s="3"/>
      <c r="B2845" s="3"/>
      <c r="C2845" s="3"/>
      <c r="D2845" s="3"/>
      <c r="E2845" s="3"/>
      <c r="F2845" s="3"/>
      <c r="G2845" s="3"/>
      <c r="H2845" s="3"/>
      <c r="I2845" s="3"/>
      <c r="J2845" s="3"/>
      <c r="K2845" s="3"/>
      <c r="L2845" s="3"/>
      <c r="M2845" s="3"/>
      <c r="N2845" s="3"/>
    </row>
    <row r="2846" spans="1:14" ht="16.5" customHeight="1">
      <c r="A2846" s="3"/>
      <c r="B2846" s="3"/>
      <c r="C2846" s="3"/>
      <c r="D2846" s="3"/>
      <c r="E2846" s="3"/>
      <c r="F2846" s="3"/>
      <c r="G2846" s="3"/>
      <c r="H2846" s="3"/>
      <c r="I2846" s="3"/>
      <c r="J2846" s="3"/>
      <c r="K2846" s="3"/>
      <c r="L2846" s="3"/>
      <c r="M2846" s="3"/>
      <c r="N2846" s="3"/>
    </row>
    <row r="2847" spans="1:14" ht="16.5" customHeight="1">
      <c r="A2847" s="3"/>
      <c r="B2847" s="3"/>
      <c r="C2847" s="3"/>
      <c r="D2847" s="3"/>
      <c r="E2847" s="3"/>
      <c r="F2847" s="3"/>
      <c r="G2847" s="3"/>
      <c r="H2847" s="3"/>
      <c r="I2847" s="3"/>
      <c r="J2847" s="3"/>
      <c r="K2847" s="3"/>
      <c r="L2847" s="3"/>
      <c r="M2847" s="3"/>
      <c r="N2847" s="3"/>
    </row>
    <row r="2848" spans="1:14" ht="16.5" customHeight="1">
      <c r="A2848" s="3"/>
      <c r="B2848" s="3"/>
      <c r="C2848" s="3"/>
      <c r="D2848" s="3"/>
      <c r="E2848" s="3"/>
      <c r="F2848" s="3"/>
      <c r="G2848" s="3"/>
      <c r="H2848" s="3"/>
      <c r="I2848" s="3"/>
      <c r="J2848" s="3"/>
      <c r="K2848" s="3"/>
      <c r="L2848" s="3"/>
      <c r="M2848" s="3"/>
      <c r="N2848" s="3"/>
    </row>
    <row r="2849" spans="1:14" ht="16.5" customHeight="1">
      <c r="A2849" s="3"/>
      <c r="B2849" s="3"/>
      <c r="C2849" s="3"/>
      <c r="D2849" s="3"/>
      <c r="E2849" s="3"/>
      <c r="F2849" s="3"/>
      <c r="G2849" s="3"/>
      <c r="H2849" s="3"/>
      <c r="I2849" s="3"/>
      <c r="J2849" s="3"/>
      <c r="K2849" s="3"/>
      <c r="L2849" s="3"/>
      <c r="M2849" s="3"/>
      <c r="N2849" s="3"/>
    </row>
    <row r="2850" spans="1:14" ht="16.5" customHeight="1">
      <c r="A2850" s="3"/>
      <c r="B2850" s="3"/>
      <c r="C2850" s="3"/>
      <c r="D2850" s="3"/>
      <c r="E2850" s="3"/>
      <c r="F2850" s="3"/>
      <c r="G2850" s="3"/>
      <c r="H2850" s="3"/>
      <c r="I2850" s="3"/>
      <c r="J2850" s="3"/>
      <c r="K2850" s="3"/>
      <c r="L2850" s="3"/>
      <c r="M2850" s="3"/>
      <c r="N2850" s="3"/>
    </row>
    <row r="2851" spans="1:14" ht="16.5" customHeight="1">
      <c r="A2851" s="3"/>
      <c r="B2851" s="3"/>
      <c r="C2851" s="3"/>
      <c r="D2851" s="3"/>
      <c r="E2851" s="3"/>
      <c r="F2851" s="3"/>
      <c r="G2851" s="3"/>
      <c r="H2851" s="3"/>
      <c r="I2851" s="3"/>
      <c r="J2851" s="3"/>
      <c r="K2851" s="3"/>
      <c r="L2851" s="3"/>
      <c r="M2851" s="3"/>
      <c r="N2851" s="3"/>
    </row>
    <row r="2852" spans="1:14" ht="16.5" customHeight="1">
      <c r="A2852" s="3"/>
      <c r="B2852" s="3"/>
      <c r="C2852" s="3"/>
      <c r="D2852" s="3"/>
      <c r="E2852" s="3"/>
      <c r="F2852" s="3"/>
      <c r="G2852" s="3"/>
      <c r="H2852" s="3"/>
      <c r="I2852" s="3"/>
      <c r="J2852" s="3"/>
      <c r="K2852" s="3"/>
      <c r="L2852" s="3"/>
      <c r="M2852" s="3"/>
      <c r="N2852" s="3"/>
    </row>
    <row r="2853" spans="1:14" ht="16.5" customHeight="1">
      <c r="A2853" s="3"/>
      <c r="B2853" s="3"/>
      <c r="C2853" s="3"/>
      <c r="D2853" s="3"/>
      <c r="E2853" s="3"/>
      <c r="F2853" s="3"/>
      <c r="G2853" s="3"/>
      <c r="H2853" s="3"/>
      <c r="I2853" s="3"/>
      <c r="J2853" s="3"/>
      <c r="K2853" s="3"/>
      <c r="L2853" s="3"/>
      <c r="M2853" s="3"/>
      <c r="N2853" s="3"/>
    </row>
    <row r="2854" spans="1:14" ht="16.5" customHeight="1">
      <c r="A2854" s="3"/>
      <c r="B2854" s="3"/>
      <c r="C2854" s="3"/>
      <c r="D2854" s="3"/>
      <c r="E2854" s="3"/>
      <c r="F2854" s="3"/>
      <c r="G2854" s="3"/>
      <c r="H2854" s="3"/>
      <c r="I2854" s="3"/>
      <c r="J2854" s="3"/>
      <c r="K2854" s="3"/>
      <c r="L2854" s="3"/>
      <c r="M2854" s="3"/>
      <c r="N2854" s="3"/>
    </row>
    <row r="2855" spans="1:14" ht="16.5" customHeight="1">
      <c r="A2855" s="3"/>
      <c r="B2855" s="3"/>
      <c r="C2855" s="3"/>
      <c r="D2855" s="3"/>
      <c r="E2855" s="3"/>
      <c r="F2855" s="3"/>
      <c r="G2855" s="3"/>
      <c r="H2855" s="3"/>
      <c r="I2855" s="3"/>
      <c r="J2855" s="3"/>
      <c r="K2855" s="3"/>
      <c r="L2855" s="3"/>
      <c r="M2855" s="3"/>
      <c r="N2855" s="3"/>
    </row>
    <row r="2856" spans="1:14" ht="16.5" customHeight="1">
      <c r="A2856" s="3"/>
      <c r="B2856" s="3"/>
      <c r="C2856" s="3"/>
      <c r="D2856" s="3"/>
      <c r="E2856" s="3"/>
      <c r="F2856" s="3"/>
      <c r="G2856" s="3"/>
      <c r="H2856" s="3"/>
      <c r="I2856" s="3"/>
      <c r="J2856" s="3"/>
      <c r="K2856" s="3"/>
      <c r="L2856" s="3"/>
      <c r="M2856" s="3"/>
      <c r="N2856" s="3"/>
    </row>
    <row r="2857" spans="1:14" ht="16.5" customHeight="1">
      <c r="A2857" s="3"/>
      <c r="B2857" s="3"/>
      <c r="C2857" s="3"/>
      <c r="D2857" s="3"/>
      <c r="E2857" s="3"/>
      <c r="F2857" s="3"/>
      <c r="G2857" s="3"/>
      <c r="H2857" s="3"/>
      <c r="I2857" s="3"/>
      <c r="J2857" s="3"/>
      <c r="K2857" s="3"/>
      <c r="L2857" s="3"/>
      <c r="M2857" s="3"/>
      <c r="N2857" s="3"/>
    </row>
    <row r="2858" spans="1:14" ht="16.5" customHeight="1">
      <c r="A2858" s="3"/>
      <c r="B2858" s="3"/>
      <c r="C2858" s="3"/>
      <c r="D2858" s="3"/>
      <c r="E2858" s="3"/>
      <c r="F2858" s="3"/>
      <c r="G2858" s="3"/>
      <c r="H2858" s="3"/>
      <c r="I2858" s="3"/>
      <c r="J2858" s="3"/>
      <c r="K2858" s="3"/>
      <c r="L2858" s="3"/>
      <c r="M2858" s="3"/>
      <c r="N2858" s="3"/>
    </row>
    <row r="2859" spans="1:14" ht="16.5" customHeight="1">
      <c r="A2859" s="3"/>
      <c r="B2859" s="3"/>
      <c r="C2859" s="3"/>
      <c r="D2859" s="3"/>
      <c r="E2859" s="3"/>
      <c r="F2859" s="3"/>
      <c r="G2859" s="3"/>
      <c r="H2859" s="3"/>
      <c r="I2859" s="3"/>
      <c r="J2859" s="3"/>
      <c r="K2859" s="3"/>
      <c r="L2859" s="3"/>
      <c r="M2859" s="3"/>
      <c r="N2859" s="3"/>
    </row>
    <row r="2860" spans="1:14" ht="16.5" customHeight="1">
      <c r="A2860" s="3"/>
      <c r="B2860" s="3"/>
      <c r="C2860" s="3"/>
      <c r="D2860" s="3"/>
      <c r="E2860" s="3"/>
      <c r="F2860" s="3"/>
      <c r="G2860" s="3"/>
      <c r="H2860" s="3"/>
      <c r="I2860" s="3"/>
      <c r="J2860" s="3"/>
      <c r="K2860" s="3"/>
      <c r="L2860" s="3"/>
      <c r="M2860" s="3"/>
      <c r="N2860" s="3"/>
    </row>
    <row r="2861" spans="1:14" ht="16.5" customHeight="1">
      <c r="A2861" s="3"/>
      <c r="B2861" s="3"/>
      <c r="C2861" s="3"/>
      <c r="D2861" s="3"/>
      <c r="E2861" s="3"/>
      <c r="F2861" s="3"/>
      <c r="G2861" s="3"/>
      <c r="H2861" s="3"/>
      <c r="I2861" s="3"/>
      <c r="J2861" s="3"/>
      <c r="K2861" s="3"/>
      <c r="L2861" s="3"/>
      <c r="M2861" s="3"/>
      <c r="N2861" s="3"/>
    </row>
    <row r="2862" spans="1:14" ht="16.5" customHeight="1">
      <c r="A2862" s="3"/>
      <c r="B2862" s="3"/>
      <c r="C2862" s="3"/>
      <c r="D2862" s="3"/>
      <c r="E2862" s="3"/>
      <c r="F2862" s="3"/>
      <c r="G2862" s="3"/>
      <c r="H2862" s="3"/>
      <c r="I2862" s="3"/>
      <c r="J2862" s="3"/>
      <c r="K2862" s="3"/>
      <c r="L2862" s="3"/>
      <c r="M2862" s="3"/>
      <c r="N2862" s="3"/>
    </row>
    <row r="2863" spans="1:14" ht="16.5" customHeight="1">
      <c r="A2863" s="3"/>
      <c r="B2863" s="3"/>
      <c r="C2863" s="3"/>
      <c r="D2863" s="3"/>
      <c r="E2863" s="3"/>
      <c r="F2863" s="3"/>
      <c r="G2863" s="3"/>
      <c r="H2863" s="3"/>
      <c r="I2863" s="3"/>
      <c r="J2863" s="3"/>
      <c r="K2863" s="3"/>
      <c r="L2863" s="3"/>
      <c r="M2863" s="3"/>
      <c r="N2863" s="3"/>
    </row>
    <row r="2864" spans="1:14" ht="16.5" customHeight="1">
      <c r="A2864" s="3"/>
      <c r="B2864" s="3"/>
      <c r="C2864" s="3"/>
      <c r="D2864" s="3"/>
      <c r="E2864" s="3"/>
      <c r="F2864" s="3"/>
      <c r="G2864" s="3"/>
      <c r="H2864" s="3"/>
      <c r="I2864" s="3"/>
      <c r="J2864" s="3"/>
      <c r="K2864" s="3"/>
      <c r="L2864" s="3"/>
      <c r="M2864" s="3"/>
      <c r="N2864" s="3"/>
    </row>
    <row r="2865" spans="1:14" ht="16.5" customHeight="1">
      <c r="A2865" s="3"/>
      <c r="B2865" s="3"/>
      <c r="C2865" s="3"/>
      <c r="D2865" s="3"/>
      <c r="E2865" s="3"/>
      <c r="F2865" s="3"/>
      <c r="G2865" s="3"/>
      <c r="H2865" s="3"/>
      <c r="I2865" s="3"/>
      <c r="J2865" s="3"/>
      <c r="K2865" s="3"/>
      <c r="L2865" s="3"/>
      <c r="M2865" s="3"/>
      <c r="N2865" s="3"/>
    </row>
    <row r="2866" spans="1:14" ht="16.5" customHeight="1">
      <c r="A2866" s="3"/>
      <c r="B2866" s="3"/>
      <c r="C2866" s="3"/>
      <c r="D2866" s="3"/>
      <c r="E2866" s="3"/>
      <c r="F2866" s="3"/>
      <c r="G2866" s="3"/>
      <c r="H2866" s="3"/>
      <c r="I2866" s="3"/>
      <c r="J2866" s="3"/>
      <c r="K2866" s="3"/>
      <c r="L2866" s="3"/>
      <c r="M2866" s="3"/>
      <c r="N2866" s="3"/>
    </row>
    <row r="2867" spans="1:14" ht="16.5" customHeight="1">
      <c r="A2867" s="3"/>
      <c r="B2867" s="3"/>
      <c r="C2867" s="3"/>
      <c r="D2867" s="3"/>
      <c r="E2867" s="3"/>
      <c r="F2867" s="3"/>
      <c r="G2867" s="3"/>
      <c r="H2867" s="3"/>
      <c r="I2867" s="3"/>
      <c r="J2867" s="3"/>
      <c r="K2867" s="3"/>
      <c r="L2867" s="3"/>
      <c r="M2867" s="3"/>
      <c r="N2867" s="3"/>
    </row>
    <row r="2868" spans="1:14" ht="16.5" customHeight="1">
      <c r="A2868" s="3"/>
      <c r="B2868" s="3"/>
      <c r="C2868" s="3"/>
      <c r="D2868" s="3"/>
      <c r="E2868" s="3"/>
      <c r="F2868" s="3"/>
      <c r="G2868" s="3"/>
      <c r="H2868" s="3"/>
      <c r="I2868" s="3"/>
      <c r="J2868" s="3"/>
      <c r="K2868" s="3"/>
      <c r="L2868" s="3"/>
      <c r="M2868" s="3"/>
      <c r="N2868" s="3"/>
    </row>
    <row r="2869" spans="1:14" ht="16.5" customHeight="1">
      <c r="A2869" s="3"/>
      <c r="B2869" s="3"/>
      <c r="C2869" s="3"/>
      <c r="D2869" s="3"/>
      <c r="E2869" s="3"/>
      <c r="F2869" s="3"/>
      <c r="G2869" s="3"/>
      <c r="H2869" s="3"/>
      <c r="I2869" s="3"/>
      <c r="J2869" s="3"/>
      <c r="K2869" s="3"/>
      <c r="L2869" s="3"/>
      <c r="M2869" s="3"/>
      <c r="N2869" s="3"/>
    </row>
    <row r="2870" spans="1:14" ht="16.5" customHeight="1">
      <c r="A2870" s="3"/>
      <c r="B2870" s="3"/>
      <c r="C2870" s="3"/>
      <c r="D2870" s="3"/>
      <c r="E2870" s="3"/>
      <c r="F2870" s="3"/>
      <c r="G2870" s="3"/>
      <c r="H2870" s="3"/>
      <c r="I2870" s="3"/>
      <c r="J2870" s="3"/>
      <c r="K2870" s="3"/>
      <c r="L2870" s="3"/>
      <c r="M2870" s="3"/>
      <c r="N2870" s="3"/>
    </row>
    <row r="2871" spans="1:14" ht="16.5" customHeight="1">
      <c r="A2871" s="3"/>
      <c r="B2871" s="3"/>
      <c r="C2871" s="3"/>
      <c r="D2871" s="3"/>
      <c r="E2871" s="3"/>
      <c r="F2871" s="3"/>
      <c r="G2871" s="3"/>
      <c r="H2871" s="3"/>
      <c r="I2871" s="3"/>
      <c r="J2871" s="3"/>
      <c r="K2871" s="3"/>
      <c r="L2871" s="3"/>
      <c r="M2871" s="3"/>
      <c r="N2871" s="3"/>
    </row>
    <row r="2872" spans="1:14" ht="16.5" customHeight="1">
      <c r="A2872" s="3"/>
      <c r="B2872" s="3"/>
      <c r="C2872" s="3"/>
      <c r="D2872" s="3"/>
      <c r="E2872" s="3"/>
      <c r="F2872" s="3"/>
      <c r="G2872" s="3"/>
      <c r="H2872" s="3"/>
      <c r="I2872" s="3"/>
      <c r="J2872" s="3"/>
      <c r="K2872" s="3"/>
      <c r="L2872" s="3"/>
      <c r="M2872" s="3"/>
      <c r="N2872" s="3"/>
    </row>
    <row r="2873" spans="1:14" ht="16.5" customHeight="1">
      <c r="A2873" s="3"/>
      <c r="B2873" s="3"/>
      <c r="C2873" s="3"/>
      <c r="D2873" s="3"/>
      <c r="E2873" s="3"/>
      <c r="F2873" s="3"/>
      <c r="G2873" s="3"/>
      <c r="H2873" s="3"/>
      <c r="I2873" s="3"/>
      <c r="J2873" s="3"/>
      <c r="K2873" s="3"/>
      <c r="L2873" s="3"/>
      <c r="M2873" s="3"/>
      <c r="N2873" s="3"/>
    </row>
    <row r="2874" spans="1:14" ht="16.5" customHeight="1">
      <c r="A2874" s="3"/>
      <c r="B2874" s="3"/>
      <c r="C2874" s="3"/>
      <c r="D2874" s="3"/>
      <c r="E2874" s="3"/>
      <c r="F2874" s="3"/>
      <c r="G2874" s="3"/>
      <c r="H2874" s="3"/>
      <c r="I2874" s="3"/>
      <c r="J2874" s="3"/>
      <c r="K2874" s="3"/>
      <c r="L2874" s="3"/>
      <c r="M2874" s="3"/>
      <c r="N2874" s="3"/>
    </row>
    <row r="2875" spans="1:14" ht="16.5" customHeight="1">
      <c r="A2875" s="3"/>
      <c r="B2875" s="3"/>
      <c r="C2875" s="3"/>
      <c r="D2875" s="3"/>
      <c r="E2875" s="3"/>
      <c r="F2875" s="3"/>
      <c r="G2875" s="3"/>
      <c r="H2875" s="3"/>
      <c r="I2875" s="3"/>
      <c r="J2875" s="3"/>
      <c r="K2875" s="3"/>
      <c r="L2875" s="3"/>
      <c r="M2875" s="3"/>
      <c r="N2875" s="3"/>
    </row>
    <row r="2876" spans="1:14" ht="16.5" customHeight="1">
      <c r="A2876" s="3"/>
      <c r="B2876" s="3"/>
      <c r="C2876" s="3"/>
      <c r="D2876" s="3"/>
      <c r="E2876" s="3"/>
      <c r="F2876" s="3"/>
      <c r="G2876" s="3"/>
      <c r="H2876" s="3"/>
      <c r="I2876" s="3"/>
      <c r="J2876" s="3"/>
      <c r="K2876" s="3"/>
      <c r="L2876" s="3"/>
      <c r="M2876" s="3"/>
      <c r="N2876" s="3"/>
    </row>
    <row r="2877" spans="1:14" ht="16.5" customHeight="1">
      <c r="A2877" s="3"/>
      <c r="B2877" s="3"/>
      <c r="C2877" s="3"/>
      <c r="D2877" s="3"/>
      <c r="E2877" s="3"/>
      <c r="F2877" s="3"/>
      <c r="G2877" s="3"/>
      <c r="H2877" s="3"/>
      <c r="I2877" s="3"/>
      <c r="J2877" s="3"/>
      <c r="K2877" s="3"/>
      <c r="L2877" s="3"/>
      <c r="M2877" s="3"/>
      <c r="N2877" s="3"/>
    </row>
    <row r="2878" spans="1:14" ht="16.5" customHeight="1">
      <c r="A2878" s="3"/>
      <c r="B2878" s="3"/>
      <c r="C2878" s="3"/>
      <c r="D2878" s="3"/>
      <c r="E2878" s="3"/>
      <c r="F2878" s="3"/>
      <c r="G2878" s="3"/>
      <c r="H2878" s="3"/>
      <c r="I2878" s="3"/>
      <c r="J2878" s="3"/>
      <c r="K2878" s="3"/>
      <c r="L2878" s="3"/>
      <c r="M2878" s="3"/>
      <c r="N2878" s="3"/>
    </row>
    <row r="2879" spans="1:14" ht="16.5" customHeight="1">
      <c r="A2879" s="3"/>
      <c r="B2879" s="3"/>
      <c r="C2879" s="3"/>
      <c r="D2879" s="3"/>
      <c r="E2879" s="3"/>
      <c r="F2879" s="3"/>
      <c r="G2879" s="3"/>
      <c r="H2879" s="3"/>
      <c r="I2879" s="3"/>
      <c r="J2879" s="3"/>
      <c r="K2879" s="3"/>
      <c r="L2879" s="3"/>
      <c r="M2879" s="3"/>
      <c r="N2879" s="3"/>
    </row>
    <row r="2880" spans="1:14" ht="16.5" customHeight="1">
      <c r="A2880" s="3"/>
      <c r="B2880" s="3"/>
      <c r="C2880" s="3"/>
      <c r="D2880" s="3"/>
      <c r="E2880" s="3"/>
      <c r="F2880" s="3"/>
      <c r="G2880" s="3"/>
      <c r="H2880" s="3"/>
      <c r="I2880" s="3"/>
      <c r="J2880" s="3"/>
      <c r="K2880" s="3"/>
      <c r="L2880" s="3"/>
      <c r="M2880" s="3"/>
      <c r="N2880" s="3"/>
    </row>
    <row r="2881" spans="1:14" ht="16.5" customHeight="1">
      <c r="A2881" s="3"/>
      <c r="B2881" s="3"/>
      <c r="C2881" s="3"/>
      <c r="D2881" s="3"/>
      <c r="E2881" s="3"/>
      <c r="F2881" s="3"/>
      <c r="G2881" s="3"/>
      <c r="H2881" s="3"/>
      <c r="I2881" s="3"/>
      <c r="J2881" s="3"/>
      <c r="K2881" s="3"/>
      <c r="L2881" s="3"/>
      <c r="M2881" s="3"/>
      <c r="N2881" s="3"/>
    </row>
    <row r="2882" spans="1:14" ht="16.5" customHeight="1">
      <c r="A2882" s="3"/>
      <c r="B2882" s="3"/>
      <c r="C2882" s="3"/>
      <c r="D2882" s="3"/>
      <c r="E2882" s="3"/>
      <c r="F2882" s="3"/>
      <c r="G2882" s="3"/>
      <c r="H2882" s="3"/>
      <c r="I2882" s="3"/>
      <c r="J2882" s="3"/>
      <c r="K2882" s="3"/>
      <c r="L2882" s="3"/>
      <c r="M2882" s="3"/>
      <c r="N2882" s="3"/>
    </row>
    <row r="2883" spans="1:14" ht="16.5" customHeight="1">
      <c r="A2883" s="3"/>
      <c r="B2883" s="3"/>
      <c r="C2883" s="3"/>
      <c r="D2883" s="3"/>
      <c r="E2883" s="3"/>
      <c r="F2883" s="3"/>
      <c r="G2883" s="3"/>
      <c r="H2883" s="3"/>
      <c r="I2883" s="3"/>
      <c r="J2883" s="3"/>
      <c r="K2883" s="3"/>
      <c r="L2883" s="3"/>
      <c r="M2883" s="3"/>
      <c r="N2883" s="3"/>
    </row>
    <row r="2884" spans="1:14" ht="16.5" customHeight="1">
      <c r="A2884" s="3"/>
      <c r="B2884" s="3"/>
      <c r="C2884" s="3"/>
      <c r="D2884" s="3"/>
      <c r="E2884" s="3"/>
      <c r="F2884" s="3"/>
      <c r="G2884" s="3"/>
      <c r="H2884" s="3"/>
      <c r="I2884" s="3"/>
      <c r="J2884" s="3"/>
      <c r="K2884" s="3"/>
      <c r="L2884" s="3"/>
      <c r="M2884" s="3"/>
      <c r="N2884" s="3"/>
    </row>
    <row r="2885" spans="1:14" ht="16.5" customHeight="1">
      <c r="A2885" s="3"/>
      <c r="B2885" s="3"/>
      <c r="C2885" s="3"/>
      <c r="D2885" s="3"/>
      <c r="E2885" s="3"/>
      <c r="F2885" s="3"/>
      <c r="G2885" s="3"/>
      <c r="H2885" s="3"/>
      <c r="I2885" s="3"/>
      <c r="J2885" s="3"/>
      <c r="K2885" s="3"/>
      <c r="L2885" s="3"/>
      <c r="M2885" s="3"/>
      <c r="N2885" s="3"/>
    </row>
    <row r="2886" spans="1:14" ht="16.5" customHeight="1">
      <c r="A2886" s="3"/>
      <c r="B2886" s="3"/>
      <c r="C2886" s="3"/>
      <c r="D2886" s="3"/>
      <c r="E2886" s="3"/>
      <c r="F2886" s="3"/>
      <c r="G2886" s="3"/>
      <c r="H2886" s="3"/>
      <c r="I2886" s="3"/>
      <c r="J2886" s="3"/>
      <c r="K2886" s="3"/>
      <c r="L2886" s="3"/>
      <c r="M2886" s="3"/>
      <c r="N2886" s="3"/>
    </row>
    <row r="2887" spans="1:14" ht="16.5" customHeight="1">
      <c r="A2887" s="3"/>
      <c r="B2887" s="3"/>
      <c r="C2887" s="3"/>
      <c r="D2887" s="3"/>
      <c r="E2887" s="3"/>
      <c r="F2887" s="3"/>
      <c r="G2887" s="3"/>
      <c r="H2887" s="3"/>
      <c r="I2887" s="3"/>
      <c r="J2887" s="3"/>
      <c r="K2887" s="3"/>
      <c r="L2887" s="3"/>
      <c r="M2887" s="3"/>
      <c r="N2887" s="3"/>
    </row>
    <row r="2888" spans="1:14" ht="16.5" customHeight="1">
      <c r="A2888" s="3"/>
      <c r="B2888" s="3"/>
      <c r="C2888" s="3"/>
      <c r="D2888" s="3"/>
      <c r="E2888" s="3"/>
      <c r="F2888" s="3"/>
      <c r="G2888" s="3"/>
      <c r="H2888" s="3"/>
      <c r="I2888" s="3"/>
      <c r="J2888" s="3"/>
      <c r="K2888" s="3"/>
      <c r="L2888" s="3"/>
      <c r="M2888" s="3"/>
      <c r="N2888" s="3"/>
    </row>
    <row r="2889" spans="1:14" ht="16.5" customHeight="1">
      <c r="A2889" s="3"/>
      <c r="B2889" s="3"/>
      <c r="C2889" s="3"/>
      <c r="D2889" s="3"/>
      <c r="E2889" s="3"/>
      <c r="F2889" s="3"/>
      <c r="G2889" s="3"/>
      <c r="H2889" s="3"/>
      <c r="I2889" s="3"/>
      <c r="J2889" s="3"/>
      <c r="K2889" s="3"/>
      <c r="L2889" s="3"/>
      <c r="M2889" s="3"/>
      <c r="N2889" s="3"/>
    </row>
    <row r="2890" spans="1:14" ht="16.5" customHeight="1">
      <c r="A2890" s="3"/>
      <c r="B2890" s="3"/>
      <c r="C2890" s="3"/>
      <c r="D2890" s="3"/>
      <c r="E2890" s="3"/>
      <c r="F2890" s="3"/>
      <c r="G2890" s="3"/>
      <c r="H2890" s="3"/>
      <c r="I2890" s="3"/>
      <c r="J2890" s="3"/>
      <c r="K2890" s="3"/>
      <c r="L2890" s="3"/>
      <c r="M2890" s="3"/>
      <c r="N2890" s="3"/>
    </row>
    <row r="2891" spans="1:14" ht="16.5" customHeight="1">
      <c r="A2891" s="3"/>
      <c r="B2891" s="3"/>
      <c r="C2891" s="3"/>
      <c r="D2891" s="3"/>
      <c r="E2891" s="3"/>
      <c r="F2891" s="3"/>
      <c r="G2891" s="3"/>
      <c r="H2891" s="3"/>
      <c r="I2891" s="3"/>
      <c r="J2891" s="3"/>
      <c r="K2891" s="3"/>
      <c r="L2891" s="3"/>
      <c r="M2891" s="3"/>
      <c r="N2891" s="3"/>
    </row>
    <row r="2892" spans="1:14" ht="16.5" customHeight="1">
      <c r="A2892" s="3"/>
      <c r="B2892" s="3"/>
      <c r="C2892" s="3"/>
      <c r="D2892" s="3"/>
      <c r="E2892" s="3"/>
      <c r="F2892" s="3"/>
      <c r="G2892" s="3"/>
      <c r="H2892" s="3"/>
      <c r="I2892" s="3"/>
      <c r="J2892" s="3"/>
      <c r="K2892" s="3"/>
      <c r="L2892" s="3"/>
      <c r="M2892" s="3"/>
      <c r="N2892" s="3"/>
    </row>
    <row r="2893" spans="1:14" ht="16.5" customHeight="1">
      <c r="A2893" s="3"/>
      <c r="B2893" s="3"/>
      <c r="C2893" s="3"/>
      <c r="D2893" s="3"/>
      <c r="E2893" s="3"/>
      <c r="F2893" s="3"/>
      <c r="G2893" s="3"/>
      <c r="H2893" s="3"/>
      <c r="I2893" s="3"/>
      <c r="J2893" s="3"/>
      <c r="K2893" s="3"/>
      <c r="L2893" s="3"/>
      <c r="M2893" s="3"/>
      <c r="N2893" s="3"/>
    </row>
    <row r="2894" spans="1:14" ht="16.5" customHeight="1">
      <c r="A2894" s="3"/>
      <c r="B2894" s="3"/>
      <c r="C2894" s="3"/>
      <c r="D2894" s="3"/>
      <c r="E2894" s="3"/>
      <c r="F2894" s="3"/>
      <c r="G2894" s="3"/>
      <c r="H2894" s="3"/>
      <c r="I2894" s="3"/>
      <c r="J2894" s="3"/>
      <c r="K2894" s="3"/>
      <c r="L2894" s="3"/>
      <c r="M2894" s="3"/>
      <c r="N2894" s="3"/>
    </row>
    <row r="2895" spans="1:14" ht="16.5" customHeight="1">
      <c r="A2895" s="3"/>
      <c r="B2895" s="3"/>
      <c r="C2895" s="3"/>
      <c r="D2895" s="3"/>
      <c r="E2895" s="3"/>
      <c r="F2895" s="3"/>
      <c r="G2895" s="3"/>
      <c r="H2895" s="3"/>
      <c r="I2895" s="3"/>
      <c r="J2895" s="3"/>
      <c r="K2895" s="3"/>
      <c r="L2895" s="3"/>
      <c r="M2895" s="3"/>
      <c r="N2895" s="3"/>
    </row>
    <row r="2896" spans="1:14" ht="16.5" customHeight="1">
      <c r="A2896" s="3"/>
      <c r="B2896" s="3"/>
      <c r="C2896" s="3"/>
      <c r="D2896" s="3"/>
      <c r="E2896" s="3"/>
      <c r="F2896" s="3"/>
      <c r="G2896" s="3"/>
      <c r="H2896" s="3"/>
      <c r="I2896" s="3"/>
      <c r="J2896" s="3"/>
      <c r="K2896" s="3"/>
      <c r="L2896" s="3"/>
      <c r="M2896" s="3"/>
      <c r="N2896" s="3"/>
    </row>
    <row r="2897" spans="1:14" ht="16.5" customHeight="1">
      <c r="A2897" s="3"/>
      <c r="B2897" s="3"/>
      <c r="C2897" s="3"/>
      <c r="D2897" s="3"/>
      <c r="E2897" s="3"/>
      <c r="F2897" s="3"/>
      <c r="G2897" s="3"/>
      <c r="H2897" s="3"/>
      <c r="I2897" s="3"/>
      <c r="J2897" s="3"/>
      <c r="K2897" s="3"/>
      <c r="L2897" s="3"/>
      <c r="M2897" s="3"/>
      <c r="N2897" s="3"/>
    </row>
    <row r="2898" spans="1:14" ht="16.5" customHeight="1">
      <c r="A2898" s="3"/>
      <c r="B2898" s="3"/>
      <c r="C2898" s="3"/>
      <c r="D2898" s="3"/>
      <c r="E2898" s="3"/>
      <c r="F2898" s="3"/>
      <c r="G2898" s="3"/>
      <c r="H2898" s="3"/>
      <c r="I2898" s="3"/>
      <c r="J2898" s="3"/>
      <c r="K2898" s="3"/>
      <c r="L2898" s="3"/>
      <c r="M2898" s="3"/>
      <c r="N2898" s="3"/>
    </row>
    <row r="2899" spans="1:14" ht="16.5" customHeight="1">
      <c r="A2899" s="3"/>
      <c r="B2899" s="3"/>
      <c r="C2899" s="3"/>
      <c r="D2899" s="3"/>
      <c r="E2899" s="3"/>
      <c r="F2899" s="3"/>
      <c r="G2899" s="3"/>
      <c r="H2899" s="3"/>
      <c r="I2899" s="3"/>
      <c r="J2899" s="3"/>
      <c r="K2899" s="3"/>
      <c r="L2899" s="3"/>
      <c r="M2899" s="3"/>
      <c r="N2899" s="3"/>
    </row>
    <row r="2900" spans="1:14" ht="16.5" customHeight="1">
      <c r="A2900" s="3"/>
      <c r="B2900" s="3"/>
      <c r="C2900" s="3"/>
      <c r="D2900" s="3"/>
      <c r="E2900" s="3"/>
      <c r="F2900" s="3"/>
      <c r="G2900" s="3"/>
      <c r="H2900" s="3"/>
      <c r="I2900" s="3"/>
      <c r="J2900" s="3"/>
      <c r="K2900" s="3"/>
      <c r="L2900" s="3"/>
      <c r="M2900" s="3"/>
      <c r="N2900" s="3"/>
    </row>
    <row r="2901" spans="1:14" ht="16.5" customHeight="1">
      <c r="A2901" s="3"/>
      <c r="B2901" s="3"/>
      <c r="C2901" s="3"/>
      <c r="D2901" s="3"/>
      <c r="E2901" s="3"/>
      <c r="F2901" s="3"/>
      <c r="G2901" s="3"/>
      <c r="H2901" s="3"/>
      <c r="I2901" s="3"/>
      <c r="J2901" s="3"/>
      <c r="K2901" s="3"/>
      <c r="L2901" s="3"/>
      <c r="M2901" s="3"/>
      <c r="N2901" s="3"/>
    </row>
    <row r="2902" spans="1:14" ht="16.5" customHeight="1">
      <c r="A2902" s="3"/>
      <c r="B2902" s="3"/>
      <c r="C2902" s="3"/>
      <c r="D2902" s="3"/>
      <c r="E2902" s="3"/>
      <c r="F2902" s="3"/>
      <c r="G2902" s="3"/>
      <c r="H2902" s="3"/>
      <c r="I2902" s="3"/>
      <c r="J2902" s="3"/>
      <c r="K2902" s="3"/>
      <c r="L2902" s="3"/>
      <c r="M2902" s="3"/>
      <c r="N2902" s="3"/>
    </row>
    <row r="2903" spans="1:14" ht="16.5" customHeight="1">
      <c r="A2903" s="3"/>
      <c r="B2903" s="3"/>
      <c r="C2903" s="3"/>
      <c r="D2903" s="3"/>
      <c r="E2903" s="3"/>
      <c r="F2903" s="3"/>
      <c r="G2903" s="3"/>
      <c r="H2903" s="3"/>
      <c r="I2903" s="3"/>
      <c r="J2903" s="3"/>
      <c r="K2903" s="3"/>
      <c r="L2903" s="3"/>
      <c r="M2903" s="3"/>
      <c r="N2903" s="3"/>
    </row>
    <row r="2904" spans="1:14" ht="16.5" customHeight="1">
      <c r="A2904" s="3"/>
      <c r="B2904" s="3"/>
      <c r="C2904" s="3"/>
      <c r="D2904" s="3"/>
      <c r="E2904" s="3"/>
      <c r="F2904" s="3"/>
      <c r="G2904" s="3"/>
      <c r="H2904" s="3"/>
      <c r="I2904" s="3"/>
      <c r="J2904" s="3"/>
      <c r="K2904" s="3"/>
      <c r="L2904" s="3"/>
      <c r="M2904" s="3"/>
      <c r="N2904" s="3"/>
    </row>
    <row r="2905" spans="1:14" ht="16.5" customHeight="1">
      <c r="A2905" s="3"/>
      <c r="B2905" s="3"/>
      <c r="C2905" s="3"/>
      <c r="D2905" s="3"/>
      <c r="E2905" s="3"/>
      <c r="F2905" s="3"/>
      <c r="G2905" s="3"/>
      <c r="H2905" s="3"/>
      <c r="I2905" s="3"/>
      <c r="J2905" s="3"/>
      <c r="K2905" s="3"/>
      <c r="L2905" s="3"/>
      <c r="M2905" s="3"/>
      <c r="N2905" s="3"/>
    </row>
    <row r="2906" spans="1:14" ht="16.5" customHeight="1">
      <c r="A2906" s="3"/>
      <c r="B2906" s="3"/>
      <c r="C2906" s="3"/>
      <c r="D2906" s="3"/>
      <c r="E2906" s="3"/>
      <c r="F2906" s="3"/>
      <c r="G2906" s="3"/>
      <c r="H2906" s="3"/>
      <c r="I2906" s="3"/>
      <c r="J2906" s="3"/>
      <c r="K2906" s="3"/>
      <c r="L2906" s="3"/>
      <c r="M2906" s="3"/>
      <c r="N2906" s="3"/>
    </row>
    <row r="2907" spans="1:14" ht="16.5" customHeight="1">
      <c r="A2907" s="3"/>
      <c r="B2907" s="3"/>
      <c r="C2907" s="3"/>
      <c r="D2907" s="3"/>
      <c r="E2907" s="3"/>
      <c r="F2907" s="3"/>
      <c r="G2907" s="3"/>
      <c r="H2907" s="3"/>
      <c r="I2907" s="3"/>
      <c r="J2907" s="3"/>
      <c r="K2907" s="3"/>
      <c r="L2907" s="3"/>
      <c r="M2907" s="3"/>
      <c r="N2907" s="3"/>
    </row>
    <row r="2908" spans="1:14" ht="16.5" customHeight="1">
      <c r="A2908" s="3"/>
      <c r="B2908" s="3"/>
      <c r="C2908" s="3"/>
      <c r="D2908" s="3"/>
      <c r="E2908" s="3"/>
      <c r="F2908" s="3"/>
      <c r="G2908" s="3"/>
      <c r="H2908" s="3"/>
      <c r="I2908" s="3"/>
      <c r="J2908" s="3"/>
      <c r="K2908" s="3"/>
      <c r="L2908" s="3"/>
      <c r="M2908" s="3"/>
      <c r="N2908" s="3"/>
    </row>
    <row r="2909" spans="1:14" ht="16.5" customHeight="1">
      <c r="A2909" s="3"/>
      <c r="B2909" s="3"/>
      <c r="C2909" s="3"/>
      <c r="D2909" s="3"/>
      <c r="E2909" s="3"/>
      <c r="F2909" s="3"/>
      <c r="G2909" s="3"/>
      <c r="H2909" s="3"/>
      <c r="I2909" s="3"/>
      <c r="J2909" s="3"/>
      <c r="K2909" s="3"/>
      <c r="L2909" s="3"/>
      <c r="M2909" s="3"/>
      <c r="N2909" s="3"/>
    </row>
    <row r="2910" spans="1:14" ht="16.5" customHeight="1">
      <c r="A2910" s="3"/>
      <c r="B2910" s="3"/>
      <c r="C2910" s="3"/>
      <c r="D2910" s="3"/>
      <c r="E2910" s="3"/>
      <c r="F2910" s="3"/>
      <c r="G2910" s="3"/>
      <c r="H2910" s="3"/>
      <c r="I2910" s="3"/>
      <c r="J2910" s="3"/>
      <c r="K2910" s="3"/>
      <c r="L2910" s="3"/>
      <c r="M2910" s="3"/>
      <c r="N2910" s="3"/>
    </row>
    <row r="2911" spans="1:14" ht="16.5" customHeight="1">
      <c r="A2911" s="3"/>
      <c r="B2911" s="3"/>
      <c r="C2911" s="3"/>
      <c r="D2911" s="3"/>
      <c r="E2911" s="3"/>
      <c r="F2911" s="3"/>
      <c r="G2911" s="3"/>
      <c r="H2911" s="3"/>
      <c r="I2911" s="3"/>
      <c r="J2911" s="3"/>
      <c r="K2911" s="3"/>
      <c r="L2911" s="3"/>
      <c r="M2911" s="3"/>
      <c r="N2911" s="3"/>
    </row>
    <row r="2912" spans="1:14" ht="16.5" customHeight="1">
      <c r="A2912" s="3"/>
      <c r="B2912" s="3"/>
      <c r="C2912" s="3"/>
      <c r="D2912" s="3"/>
      <c r="E2912" s="3"/>
      <c r="F2912" s="3"/>
      <c r="G2912" s="3"/>
      <c r="H2912" s="3"/>
      <c r="I2912" s="3"/>
      <c r="J2912" s="3"/>
      <c r="K2912" s="3"/>
      <c r="L2912" s="3"/>
      <c r="M2912" s="3"/>
      <c r="N2912" s="3"/>
    </row>
    <row r="2913" spans="1:14" ht="16.5" customHeight="1">
      <c r="A2913" s="3"/>
      <c r="B2913" s="3"/>
      <c r="C2913" s="3"/>
      <c r="D2913" s="3"/>
      <c r="E2913" s="3"/>
      <c r="F2913" s="3"/>
      <c r="G2913" s="3"/>
      <c r="H2913" s="3"/>
      <c r="I2913" s="3"/>
      <c r="J2913" s="3"/>
      <c r="K2913" s="3"/>
      <c r="L2913" s="3"/>
      <c r="M2913" s="3"/>
      <c r="N2913" s="3"/>
    </row>
    <row r="2914" spans="1:14" ht="16.5" customHeight="1">
      <c r="A2914" s="3"/>
      <c r="B2914" s="3"/>
      <c r="C2914" s="3"/>
      <c r="D2914" s="3"/>
      <c r="E2914" s="3"/>
      <c r="F2914" s="3"/>
      <c r="G2914" s="3"/>
      <c r="H2914" s="3"/>
      <c r="I2914" s="3"/>
      <c r="J2914" s="3"/>
      <c r="K2914" s="3"/>
      <c r="L2914" s="3"/>
      <c r="M2914" s="3"/>
      <c r="N2914" s="3"/>
    </row>
    <row r="2915" spans="1:14" ht="16.5" customHeight="1">
      <c r="A2915" s="3"/>
      <c r="B2915" s="3"/>
      <c r="C2915" s="3"/>
      <c r="D2915" s="3"/>
      <c r="E2915" s="3"/>
      <c r="F2915" s="3"/>
      <c r="G2915" s="3"/>
      <c r="H2915" s="3"/>
      <c r="I2915" s="3"/>
      <c r="J2915" s="3"/>
      <c r="K2915" s="3"/>
      <c r="L2915" s="3"/>
      <c r="M2915" s="3"/>
      <c r="N2915" s="3"/>
    </row>
    <row r="2916" spans="1:14" ht="16.5" customHeight="1">
      <c r="A2916" s="3"/>
      <c r="B2916" s="3"/>
      <c r="C2916" s="3"/>
      <c r="D2916" s="3"/>
      <c r="E2916" s="3"/>
      <c r="F2916" s="3"/>
      <c r="G2916" s="3"/>
      <c r="H2916" s="3"/>
      <c r="I2916" s="3"/>
      <c r="J2916" s="3"/>
      <c r="K2916" s="3"/>
      <c r="L2916" s="3"/>
      <c r="M2916" s="3"/>
      <c r="N2916" s="3"/>
    </row>
    <row r="2917" spans="1:14" ht="16.5" customHeight="1">
      <c r="A2917" s="3"/>
      <c r="B2917" s="3"/>
      <c r="C2917" s="3"/>
      <c r="D2917" s="3"/>
      <c r="E2917" s="3"/>
      <c r="F2917" s="3"/>
      <c r="G2917" s="3"/>
      <c r="H2917" s="3"/>
      <c r="I2917" s="3"/>
      <c r="J2917" s="3"/>
      <c r="K2917" s="3"/>
      <c r="L2917" s="3"/>
      <c r="M2917" s="3"/>
      <c r="N2917" s="3"/>
    </row>
    <row r="2918" spans="1:14" ht="16.5" customHeight="1">
      <c r="A2918" s="3"/>
      <c r="B2918" s="3"/>
      <c r="C2918" s="3"/>
      <c r="D2918" s="3"/>
      <c r="E2918" s="3"/>
      <c r="F2918" s="3"/>
      <c r="G2918" s="3"/>
      <c r="H2918" s="3"/>
      <c r="I2918" s="3"/>
      <c r="J2918" s="3"/>
      <c r="K2918" s="3"/>
      <c r="L2918" s="3"/>
      <c r="M2918" s="3"/>
      <c r="N2918" s="3"/>
    </row>
    <row r="2919" spans="1:14" ht="16.5" customHeight="1">
      <c r="A2919" s="3"/>
      <c r="B2919" s="3"/>
      <c r="C2919" s="3"/>
      <c r="D2919" s="3"/>
      <c r="E2919" s="3"/>
      <c r="F2919" s="3"/>
      <c r="G2919" s="3"/>
      <c r="H2919" s="3"/>
      <c r="I2919" s="3"/>
      <c r="J2919" s="3"/>
      <c r="K2919" s="3"/>
      <c r="L2919" s="3"/>
      <c r="M2919" s="3"/>
      <c r="N2919" s="3"/>
    </row>
    <row r="2920" spans="1:14" ht="16.5" customHeight="1">
      <c r="A2920" s="3"/>
      <c r="B2920" s="3"/>
      <c r="C2920" s="3"/>
      <c r="D2920" s="3"/>
      <c r="E2920" s="3"/>
      <c r="F2920" s="3"/>
      <c r="G2920" s="3"/>
      <c r="H2920" s="3"/>
      <c r="I2920" s="3"/>
      <c r="J2920" s="3"/>
      <c r="K2920" s="3"/>
      <c r="L2920" s="3"/>
      <c r="M2920" s="3"/>
      <c r="N2920" s="3"/>
    </row>
    <row r="2921" spans="1:14" ht="16.5" customHeight="1">
      <c r="A2921" s="3"/>
      <c r="B2921" s="3"/>
      <c r="C2921" s="3"/>
      <c r="D2921" s="3"/>
      <c r="E2921" s="3"/>
      <c r="F2921" s="3"/>
      <c r="G2921" s="3"/>
      <c r="H2921" s="3"/>
      <c r="I2921" s="3"/>
      <c r="J2921" s="3"/>
      <c r="K2921" s="3"/>
      <c r="L2921" s="3"/>
      <c r="M2921" s="3"/>
      <c r="N2921" s="3"/>
    </row>
    <row r="2922" spans="1:14" ht="16.5" customHeight="1">
      <c r="A2922" s="3"/>
      <c r="B2922" s="3"/>
      <c r="C2922" s="3"/>
      <c r="D2922" s="3"/>
      <c r="E2922" s="3"/>
      <c r="F2922" s="3"/>
      <c r="G2922" s="3"/>
      <c r="H2922" s="3"/>
      <c r="I2922" s="3"/>
      <c r="J2922" s="3"/>
      <c r="K2922" s="3"/>
      <c r="L2922" s="3"/>
      <c r="M2922" s="3"/>
      <c r="N2922" s="3"/>
    </row>
    <row r="2923" spans="1:14" ht="16.5" customHeight="1">
      <c r="A2923" s="3"/>
      <c r="B2923" s="3"/>
      <c r="C2923" s="3"/>
      <c r="D2923" s="3"/>
      <c r="E2923" s="3"/>
      <c r="F2923" s="3"/>
      <c r="G2923" s="3"/>
      <c r="H2923" s="3"/>
      <c r="I2923" s="3"/>
      <c r="J2923" s="3"/>
      <c r="K2923" s="3"/>
      <c r="L2923" s="3"/>
      <c r="M2923" s="3"/>
      <c r="N2923" s="3"/>
    </row>
    <row r="2924" spans="1:14" ht="16.5" customHeight="1">
      <c r="A2924" s="3"/>
      <c r="B2924" s="3"/>
      <c r="C2924" s="3"/>
      <c r="D2924" s="3"/>
      <c r="E2924" s="3"/>
      <c r="F2924" s="3"/>
      <c r="G2924" s="3"/>
      <c r="H2924" s="3"/>
      <c r="I2924" s="3"/>
      <c r="J2924" s="3"/>
      <c r="K2924" s="3"/>
      <c r="L2924" s="3"/>
      <c r="M2924" s="3"/>
      <c r="N2924" s="3"/>
    </row>
    <row r="2925" spans="1:14" ht="16.5" customHeight="1">
      <c r="A2925" s="3"/>
      <c r="B2925" s="3"/>
      <c r="C2925" s="3"/>
      <c r="D2925" s="3"/>
      <c r="E2925" s="3"/>
      <c r="F2925" s="3"/>
      <c r="G2925" s="3"/>
      <c r="H2925" s="3"/>
      <c r="I2925" s="3"/>
      <c r="J2925" s="3"/>
      <c r="K2925" s="3"/>
      <c r="L2925" s="3"/>
      <c r="M2925" s="3"/>
      <c r="N2925" s="3"/>
    </row>
    <row r="2926" spans="1:14" ht="16.5" customHeight="1">
      <c r="A2926" s="3"/>
      <c r="B2926" s="3"/>
      <c r="C2926" s="3"/>
      <c r="D2926" s="3"/>
      <c r="E2926" s="3"/>
      <c r="F2926" s="3"/>
      <c r="G2926" s="3"/>
      <c r="H2926" s="3"/>
      <c r="I2926" s="3"/>
      <c r="J2926" s="3"/>
      <c r="K2926" s="3"/>
      <c r="L2926" s="3"/>
      <c r="M2926" s="3"/>
      <c r="N2926" s="3"/>
    </row>
    <row r="2927" spans="1:14" ht="16.5" customHeight="1">
      <c r="A2927" s="3"/>
      <c r="B2927" s="3"/>
      <c r="C2927" s="3"/>
      <c r="D2927" s="3"/>
      <c r="E2927" s="3"/>
      <c r="F2927" s="3"/>
      <c r="G2927" s="3"/>
      <c r="H2927" s="3"/>
      <c r="I2927" s="3"/>
      <c r="J2927" s="3"/>
      <c r="K2927" s="3"/>
      <c r="L2927" s="3"/>
      <c r="M2927" s="3"/>
      <c r="N2927" s="3"/>
    </row>
    <row r="2928" spans="1:14" ht="16.5" customHeight="1">
      <c r="A2928" s="3"/>
      <c r="B2928" s="3"/>
      <c r="C2928" s="3"/>
      <c r="D2928" s="3"/>
      <c r="E2928" s="3"/>
      <c r="F2928" s="3"/>
      <c r="G2928" s="3"/>
      <c r="H2928" s="3"/>
      <c r="I2928" s="3"/>
      <c r="J2928" s="3"/>
      <c r="K2928" s="3"/>
      <c r="L2928" s="3"/>
      <c r="M2928" s="3"/>
      <c r="N2928" s="3"/>
    </row>
    <row r="2929" spans="1:14" ht="16.5" customHeight="1">
      <c r="A2929" s="3"/>
      <c r="B2929" s="3"/>
      <c r="C2929" s="3"/>
      <c r="D2929" s="3"/>
      <c r="E2929" s="3"/>
      <c r="F2929" s="3"/>
      <c r="G2929" s="3"/>
      <c r="H2929" s="3"/>
      <c r="I2929" s="3"/>
      <c r="J2929" s="3"/>
      <c r="K2929" s="3"/>
      <c r="L2929" s="3"/>
      <c r="M2929" s="3"/>
      <c r="N2929" s="3"/>
    </row>
    <row r="2930" spans="1:14" ht="16.5" customHeight="1">
      <c r="A2930" s="3"/>
      <c r="B2930" s="3"/>
      <c r="C2930" s="3"/>
      <c r="D2930" s="3"/>
      <c r="E2930" s="3"/>
      <c r="F2930" s="3"/>
      <c r="G2930" s="3"/>
      <c r="H2930" s="3"/>
      <c r="I2930" s="3"/>
      <c r="J2930" s="3"/>
      <c r="K2930" s="3"/>
      <c r="L2930" s="3"/>
      <c r="M2930" s="3"/>
      <c r="N2930" s="3"/>
    </row>
    <row r="2931" spans="1:14" ht="16.5" customHeight="1">
      <c r="A2931" s="3"/>
      <c r="B2931" s="3"/>
      <c r="C2931" s="3"/>
      <c r="D2931" s="3"/>
      <c r="E2931" s="3"/>
      <c r="F2931" s="3"/>
      <c r="G2931" s="3"/>
      <c r="H2931" s="3"/>
      <c r="I2931" s="3"/>
      <c r="J2931" s="3"/>
      <c r="K2931" s="3"/>
      <c r="L2931" s="3"/>
      <c r="M2931" s="3"/>
      <c r="N2931" s="3"/>
    </row>
    <row r="2932" spans="1:14" ht="16.5" customHeight="1">
      <c r="A2932" s="3"/>
      <c r="B2932" s="3"/>
      <c r="C2932" s="3"/>
      <c r="D2932" s="3"/>
      <c r="E2932" s="3"/>
      <c r="F2932" s="3"/>
      <c r="G2932" s="3"/>
      <c r="H2932" s="3"/>
      <c r="I2932" s="3"/>
      <c r="J2932" s="3"/>
      <c r="K2932" s="3"/>
      <c r="L2932" s="3"/>
      <c r="M2932" s="3"/>
      <c r="N2932" s="3"/>
    </row>
    <row r="2933" spans="1:14" ht="16.5" customHeight="1">
      <c r="A2933" s="3"/>
      <c r="B2933" s="3"/>
      <c r="C2933" s="3"/>
      <c r="D2933" s="3"/>
      <c r="E2933" s="3"/>
      <c r="F2933" s="3"/>
      <c r="G2933" s="3"/>
      <c r="H2933" s="3"/>
      <c r="I2933" s="3"/>
      <c r="J2933" s="3"/>
      <c r="K2933" s="3"/>
      <c r="L2933" s="3"/>
      <c r="M2933" s="3"/>
      <c r="N2933" s="3"/>
    </row>
    <row r="2934" spans="1:14" ht="16.5" customHeight="1">
      <c r="A2934" s="3"/>
      <c r="B2934" s="3"/>
      <c r="C2934" s="3"/>
      <c r="D2934" s="3"/>
      <c r="E2934" s="3"/>
      <c r="F2934" s="3"/>
      <c r="G2934" s="3"/>
      <c r="H2934" s="3"/>
      <c r="I2934" s="3"/>
      <c r="J2934" s="3"/>
      <c r="K2934" s="3"/>
      <c r="L2934" s="3"/>
      <c r="M2934" s="3"/>
      <c r="N2934" s="3"/>
    </row>
    <row r="2935" spans="1:14" ht="16.5" customHeight="1">
      <c r="A2935" s="3"/>
      <c r="B2935" s="3"/>
      <c r="C2935" s="3"/>
      <c r="D2935" s="3"/>
      <c r="E2935" s="3"/>
      <c r="F2935" s="3"/>
      <c r="G2935" s="3"/>
      <c r="H2935" s="3"/>
      <c r="I2935" s="3"/>
      <c r="J2935" s="3"/>
      <c r="K2935" s="3"/>
      <c r="L2935" s="3"/>
      <c r="M2935" s="3"/>
      <c r="N2935" s="3"/>
    </row>
    <row r="2936" spans="1:14" ht="16.5" customHeight="1">
      <c r="A2936" s="3"/>
      <c r="B2936" s="3"/>
      <c r="C2936" s="3"/>
      <c r="D2936" s="3"/>
      <c r="E2936" s="3"/>
      <c r="F2936" s="3"/>
      <c r="G2936" s="3"/>
      <c r="H2936" s="3"/>
      <c r="I2936" s="3"/>
      <c r="J2936" s="3"/>
      <c r="K2936" s="3"/>
      <c r="L2936" s="3"/>
      <c r="M2936" s="3"/>
      <c r="N2936" s="3"/>
    </row>
    <row r="2937" spans="1:14" ht="16.5" customHeight="1">
      <c r="A2937" s="3"/>
      <c r="B2937" s="3"/>
      <c r="C2937" s="3"/>
      <c r="D2937" s="3"/>
      <c r="E2937" s="3"/>
      <c r="F2937" s="3"/>
      <c r="G2937" s="3"/>
      <c r="H2937" s="3"/>
      <c r="I2937" s="3"/>
      <c r="J2937" s="3"/>
      <c r="K2937" s="3"/>
      <c r="L2937" s="3"/>
      <c r="M2937" s="3"/>
      <c r="N2937" s="3"/>
    </row>
    <row r="2938" spans="1:14" ht="16.5" customHeight="1">
      <c r="A2938" s="3"/>
      <c r="B2938" s="3"/>
      <c r="C2938" s="3"/>
      <c r="D2938" s="3"/>
      <c r="E2938" s="3"/>
      <c r="F2938" s="3"/>
      <c r="G2938" s="3"/>
      <c r="H2938" s="3"/>
      <c r="I2938" s="3"/>
      <c r="J2938" s="3"/>
      <c r="K2938" s="3"/>
      <c r="L2938" s="3"/>
      <c r="M2938" s="3"/>
      <c r="N2938" s="3"/>
    </row>
    <row r="2939" spans="1:14" ht="16.5" customHeight="1">
      <c r="A2939" s="3"/>
      <c r="B2939" s="3"/>
      <c r="C2939" s="3"/>
      <c r="D2939" s="3"/>
      <c r="E2939" s="3"/>
      <c r="F2939" s="3"/>
      <c r="G2939" s="3"/>
      <c r="H2939" s="3"/>
      <c r="I2939" s="3"/>
      <c r="J2939" s="3"/>
      <c r="K2939" s="3"/>
      <c r="L2939" s="3"/>
      <c r="M2939" s="3"/>
      <c r="N2939" s="3"/>
    </row>
    <row r="2940" spans="1:14" ht="16.5" customHeight="1">
      <c r="A2940" s="3"/>
      <c r="B2940" s="3"/>
      <c r="C2940" s="3"/>
      <c r="D2940" s="3"/>
      <c r="E2940" s="3"/>
      <c r="F2940" s="3"/>
      <c r="G2940" s="3"/>
      <c r="H2940" s="3"/>
      <c r="I2940" s="3"/>
      <c r="J2940" s="3"/>
      <c r="K2940" s="3"/>
      <c r="L2940" s="3"/>
      <c r="M2940" s="3"/>
      <c r="N2940" s="3"/>
    </row>
    <row r="2941" spans="1:14" ht="16.5" customHeight="1">
      <c r="A2941" s="3"/>
      <c r="B2941" s="3"/>
      <c r="C2941" s="3"/>
      <c r="D2941" s="3"/>
      <c r="E2941" s="3"/>
      <c r="F2941" s="3"/>
      <c r="G2941" s="3"/>
      <c r="H2941" s="3"/>
      <c r="I2941" s="3"/>
      <c r="J2941" s="3"/>
      <c r="K2941" s="3"/>
      <c r="L2941" s="3"/>
      <c r="M2941" s="3"/>
      <c r="N2941" s="3"/>
    </row>
    <row r="2942" spans="1:14" ht="16.5" customHeight="1">
      <c r="A2942" s="3"/>
      <c r="B2942" s="3"/>
      <c r="C2942" s="3"/>
      <c r="D2942" s="3"/>
      <c r="E2942" s="3"/>
      <c r="F2942" s="3"/>
      <c r="G2942" s="3"/>
      <c r="H2942" s="3"/>
      <c r="I2942" s="3"/>
      <c r="J2942" s="3"/>
      <c r="K2942" s="3"/>
      <c r="L2942" s="3"/>
      <c r="M2942" s="3"/>
      <c r="N2942" s="3"/>
    </row>
    <row r="2943" spans="1:14" ht="16.5" customHeight="1">
      <c r="A2943" s="3"/>
      <c r="B2943" s="3"/>
      <c r="C2943" s="3"/>
      <c r="D2943" s="3"/>
      <c r="E2943" s="3"/>
      <c r="F2943" s="3"/>
      <c r="G2943" s="3"/>
      <c r="H2943" s="3"/>
      <c r="I2943" s="3"/>
      <c r="J2943" s="3"/>
      <c r="K2943" s="3"/>
      <c r="L2943" s="3"/>
      <c r="M2943" s="3"/>
      <c r="N2943" s="3"/>
    </row>
    <row r="2944" spans="1:14" ht="16.5" customHeight="1">
      <c r="A2944" s="3"/>
      <c r="B2944" s="3"/>
      <c r="C2944" s="3"/>
      <c r="D2944" s="3"/>
      <c r="E2944" s="3"/>
      <c r="F2944" s="3"/>
      <c r="G2944" s="3"/>
      <c r="H2944" s="3"/>
      <c r="I2944" s="3"/>
      <c r="J2944" s="3"/>
      <c r="K2944" s="3"/>
      <c r="L2944" s="3"/>
      <c r="M2944" s="3"/>
      <c r="N2944" s="3"/>
    </row>
    <row r="2945" spans="1:14" ht="16.5" customHeight="1">
      <c r="A2945" s="3"/>
      <c r="B2945" s="3"/>
      <c r="C2945" s="3"/>
      <c r="D2945" s="3"/>
      <c r="E2945" s="3"/>
      <c r="F2945" s="3"/>
      <c r="G2945" s="3"/>
      <c r="H2945" s="3"/>
      <c r="I2945" s="3"/>
      <c r="J2945" s="3"/>
      <c r="K2945" s="3"/>
      <c r="L2945" s="3"/>
      <c r="M2945" s="3"/>
      <c r="N2945" s="3"/>
    </row>
    <row r="2946" spans="1:14" ht="16.5" customHeight="1">
      <c r="A2946" s="3"/>
      <c r="B2946" s="3"/>
      <c r="C2946" s="3"/>
      <c r="D2946" s="3"/>
      <c r="E2946" s="3"/>
      <c r="F2946" s="3"/>
      <c r="G2946" s="3"/>
      <c r="H2946" s="3"/>
      <c r="I2946" s="3"/>
      <c r="J2946" s="3"/>
      <c r="K2946" s="3"/>
      <c r="L2946" s="3"/>
      <c r="M2946" s="3"/>
      <c r="N2946" s="3"/>
    </row>
    <row r="2947" spans="1:14" ht="16.5" customHeight="1">
      <c r="A2947" s="3"/>
      <c r="B2947" s="3"/>
      <c r="C2947" s="3"/>
      <c r="D2947" s="3"/>
      <c r="E2947" s="3"/>
      <c r="F2947" s="3"/>
      <c r="G2947" s="3"/>
      <c r="H2947" s="3"/>
      <c r="I2947" s="3"/>
      <c r="J2947" s="3"/>
      <c r="K2947" s="3"/>
      <c r="L2947" s="3"/>
      <c r="M2947" s="3"/>
      <c r="N2947" s="3"/>
    </row>
    <row r="2948" spans="1:14" ht="16.5" customHeight="1">
      <c r="A2948" s="3"/>
      <c r="B2948" s="3"/>
      <c r="C2948" s="3"/>
      <c r="D2948" s="3"/>
      <c r="E2948" s="3"/>
      <c r="F2948" s="3"/>
      <c r="G2948" s="3"/>
      <c r="H2948" s="3"/>
      <c r="I2948" s="3"/>
      <c r="J2948" s="3"/>
      <c r="K2948" s="3"/>
      <c r="L2948" s="3"/>
      <c r="M2948" s="3"/>
      <c r="N2948" s="3"/>
    </row>
    <row r="2949" spans="1:14" ht="16.5" customHeight="1">
      <c r="A2949" s="3"/>
      <c r="B2949" s="3"/>
      <c r="C2949" s="3"/>
      <c r="D2949" s="3"/>
      <c r="E2949" s="3"/>
      <c r="F2949" s="3"/>
      <c r="G2949" s="3"/>
      <c r="H2949" s="3"/>
      <c r="I2949" s="3"/>
      <c r="J2949" s="3"/>
      <c r="K2949" s="3"/>
      <c r="L2949" s="3"/>
      <c r="M2949" s="3"/>
      <c r="N2949" s="3"/>
    </row>
    <row r="2950" spans="1:14" ht="16.5" customHeight="1">
      <c r="A2950" s="3"/>
      <c r="B2950" s="3"/>
      <c r="C2950" s="3"/>
      <c r="D2950" s="3"/>
      <c r="E2950" s="3"/>
      <c r="F2950" s="3"/>
      <c r="G2950" s="3"/>
      <c r="H2950" s="3"/>
      <c r="I2950" s="3"/>
      <c r="J2950" s="3"/>
      <c r="K2950" s="3"/>
      <c r="L2950" s="3"/>
      <c r="M2950" s="3"/>
      <c r="N2950" s="3"/>
    </row>
    <row r="2951" spans="1:14" ht="16.5" customHeight="1">
      <c r="A2951" s="3"/>
      <c r="B2951" s="3"/>
      <c r="C2951" s="3"/>
      <c r="D2951" s="3"/>
      <c r="E2951" s="3"/>
      <c r="F2951" s="3"/>
      <c r="G2951" s="3"/>
      <c r="H2951" s="3"/>
      <c r="I2951" s="3"/>
      <c r="J2951" s="3"/>
      <c r="K2951" s="3"/>
      <c r="L2951" s="3"/>
      <c r="M2951" s="3"/>
      <c r="N2951" s="3"/>
    </row>
    <row r="2952" spans="1:14" ht="16.5" customHeight="1">
      <c r="A2952" s="3"/>
      <c r="B2952" s="3"/>
      <c r="C2952" s="3"/>
      <c r="D2952" s="3"/>
      <c r="E2952" s="3"/>
      <c r="F2952" s="3"/>
      <c r="G2952" s="3"/>
      <c r="H2952" s="3"/>
      <c r="I2952" s="3"/>
      <c r="J2952" s="3"/>
      <c r="K2952" s="3"/>
      <c r="L2952" s="3"/>
      <c r="M2952" s="3"/>
      <c r="N2952" s="3"/>
    </row>
    <row r="2953" spans="1:14" ht="16.5" customHeight="1">
      <c r="A2953" s="3"/>
      <c r="B2953" s="3"/>
      <c r="C2953" s="3"/>
      <c r="D2953" s="3"/>
      <c r="E2953" s="3"/>
      <c r="F2953" s="3"/>
      <c r="G2953" s="3"/>
      <c r="H2953" s="3"/>
      <c r="I2953" s="3"/>
      <c r="J2953" s="3"/>
      <c r="K2953" s="3"/>
      <c r="L2953" s="3"/>
      <c r="M2953" s="3"/>
      <c r="N2953" s="3"/>
    </row>
    <row r="2954" spans="1:14" ht="16.5" customHeight="1">
      <c r="A2954" s="3"/>
      <c r="B2954" s="3"/>
      <c r="C2954" s="3"/>
      <c r="D2954" s="3"/>
      <c r="E2954" s="3"/>
      <c r="F2954" s="3"/>
      <c r="G2954" s="3"/>
      <c r="H2954" s="3"/>
      <c r="I2954" s="3"/>
      <c r="J2954" s="3"/>
      <c r="K2954" s="3"/>
      <c r="L2954" s="3"/>
      <c r="M2954" s="3"/>
      <c r="N2954" s="3"/>
    </row>
    <row r="2955" spans="1:14" ht="16.5" customHeight="1">
      <c r="A2955" s="3"/>
      <c r="B2955" s="3"/>
      <c r="C2955" s="3"/>
      <c r="D2955" s="3"/>
      <c r="E2955" s="3"/>
      <c r="F2955" s="3"/>
      <c r="G2955" s="3"/>
      <c r="H2955" s="3"/>
      <c r="I2955" s="3"/>
      <c r="J2955" s="3"/>
      <c r="K2955" s="3"/>
      <c r="L2955" s="3"/>
      <c r="M2955" s="3"/>
      <c r="N2955" s="3"/>
    </row>
    <row r="2956" spans="1:14" ht="16.5" customHeight="1">
      <c r="A2956" s="3"/>
      <c r="B2956" s="3"/>
      <c r="C2956" s="3"/>
      <c r="D2956" s="3"/>
      <c r="E2956" s="3"/>
      <c r="F2956" s="3"/>
      <c r="G2956" s="3"/>
      <c r="H2956" s="3"/>
      <c r="I2956" s="3"/>
      <c r="J2956" s="3"/>
      <c r="K2956" s="3"/>
      <c r="L2956" s="3"/>
      <c r="M2956" s="3"/>
      <c r="N2956" s="3"/>
    </row>
    <row r="2957" spans="1:14" ht="16.5" customHeight="1">
      <c r="A2957" s="3"/>
      <c r="B2957" s="3"/>
      <c r="C2957" s="3"/>
      <c r="D2957" s="3"/>
      <c r="E2957" s="3"/>
      <c r="F2957" s="3"/>
      <c r="G2957" s="3"/>
      <c r="H2957" s="3"/>
      <c r="I2957" s="3"/>
      <c r="J2957" s="3"/>
      <c r="K2957" s="3"/>
      <c r="L2957" s="3"/>
      <c r="M2957" s="3"/>
      <c r="N2957" s="3"/>
    </row>
    <row r="2958" spans="1:14" ht="16.5" customHeight="1">
      <c r="A2958" s="3"/>
      <c r="B2958" s="3"/>
      <c r="C2958" s="3"/>
      <c r="D2958" s="3"/>
      <c r="E2958" s="3"/>
      <c r="F2958" s="3"/>
      <c r="G2958" s="3"/>
      <c r="H2958" s="3"/>
      <c r="I2958" s="3"/>
      <c r="J2958" s="3"/>
      <c r="K2958" s="3"/>
      <c r="L2958" s="3"/>
      <c r="M2958" s="3"/>
      <c r="N2958" s="3"/>
    </row>
    <row r="2959" spans="1:14" ht="16.5" customHeight="1">
      <c r="A2959" s="3"/>
      <c r="B2959" s="3"/>
      <c r="C2959" s="3"/>
      <c r="D2959" s="3"/>
      <c r="E2959" s="3"/>
      <c r="F2959" s="3"/>
      <c r="G2959" s="3"/>
      <c r="H2959" s="3"/>
      <c r="I2959" s="3"/>
      <c r="J2959" s="3"/>
      <c r="K2959" s="3"/>
      <c r="L2959" s="3"/>
      <c r="M2959" s="3"/>
      <c r="N2959" s="3"/>
    </row>
    <row r="2960" spans="1:14" ht="16.5" customHeight="1">
      <c r="A2960" s="3"/>
      <c r="B2960" s="3"/>
      <c r="C2960" s="3"/>
      <c r="D2960" s="3"/>
      <c r="E2960" s="3"/>
      <c r="F2960" s="3"/>
      <c r="G2960" s="3"/>
      <c r="H2960" s="3"/>
      <c r="I2960" s="3"/>
      <c r="J2960" s="3"/>
      <c r="K2960" s="3"/>
      <c r="L2960" s="3"/>
      <c r="M2960" s="3"/>
      <c r="N2960" s="3"/>
    </row>
    <row r="2961" spans="1:14" ht="16.5" customHeight="1">
      <c r="A2961" s="3"/>
      <c r="B2961" s="3"/>
      <c r="C2961" s="3"/>
      <c r="D2961" s="3"/>
      <c r="E2961" s="3"/>
      <c r="F2961" s="3"/>
      <c r="G2961" s="3"/>
      <c r="H2961" s="3"/>
      <c r="I2961" s="3"/>
      <c r="J2961" s="3"/>
      <c r="K2961" s="3"/>
      <c r="L2961" s="3"/>
      <c r="M2961" s="3"/>
      <c r="N2961" s="3"/>
    </row>
    <row r="2962" spans="1:14" ht="16.5" customHeight="1">
      <c r="A2962" s="3"/>
      <c r="B2962" s="3"/>
      <c r="C2962" s="3"/>
      <c r="D2962" s="3"/>
      <c r="E2962" s="3"/>
      <c r="F2962" s="3"/>
      <c r="G2962" s="3"/>
      <c r="H2962" s="3"/>
      <c r="I2962" s="3"/>
      <c r="J2962" s="3"/>
      <c r="K2962" s="3"/>
      <c r="L2962" s="3"/>
      <c r="M2962" s="3"/>
      <c r="N2962" s="3"/>
    </row>
    <row r="2963" spans="1:14" ht="16.5" customHeight="1">
      <c r="A2963" s="3"/>
      <c r="B2963" s="3"/>
      <c r="C2963" s="3"/>
      <c r="D2963" s="3"/>
      <c r="E2963" s="3"/>
      <c r="F2963" s="3"/>
      <c r="G2963" s="3"/>
      <c r="H2963" s="3"/>
      <c r="I2963" s="3"/>
      <c r="J2963" s="3"/>
      <c r="K2963" s="3"/>
      <c r="L2963" s="3"/>
      <c r="M2963" s="3"/>
      <c r="N2963" s="3"/>
    </row>
    <row r="2964" spans="1:14" ht="16.5" customHeight="1">
      <c r="A2964" s="3"/>
      <c r="B2964" s="3"/>
      <c r="C2964" s="3"/>
      <c r="D2964" s="3"/>
      <c r="E2964" s="3"/>
      <c r="F2964" s="3"/>
      <c r="G2964" s="3"/>
      <c r="H2964" s="3"/>
      <c r="I2964" s="3"/>
      <c r="J2964" s="3"/>
      <c r="K2964" s="3"/>
      <c r="L2964" s="3"/>
      <c r="M2964" s="3"/>
      <c r="N2964" s="3"/>
    </row>
    <row r="2965" spans="1:14" ht="16.5" customHeight="1">
      <c r="A2965" s="3"/>
      <c r="B2965" s="3"/>
      <c r="C2965" s="3"/>
      <c r="D2965" s="3"/>
      <c r="E2965" s="3"/>
      <c r="F2965" s="3"/>
      <c r="G2965" s="3"/>
      <c r="H2965" s="3"/>
      <c r="I2965" s="3"/>
      <c r="J2965" s="3"/>
      <c r="K2965" s="3"/>
      <c r="L2965" s="3"/>
      <c r="M2965" s="3"/>
      <c r="N2965" s="3"/>
    </row>
    <row r="2966" spans="1:14" ht="16.5" customHeight="1">
      <c r="A2966" s="3"/>
      <c r="B2966" s="3"/>
      <c r="C2966" s="3"/>
      <c r="D2966" s="3"/>
      <c r="E2966" s="3"/>
      <c r="F2966" s="3"/>
      <c r="G2966" s="3"/>
      <c r="H2966" s="3"/>
      <c r="I2966" s="3"/>
      <c r="J2966" s="3"/>
      <c r="K2966" s="3"/>
      <c r="L2966" s="3"/>
      <c r="M2966" s="3"/>
      <c r="N2966" s="3"/>
    </row>
    <row r="2967" spans="1:14" ht="16.5" customHeight="1">
      <c r="A2967" s="3"/>
      <c r="B2967" s="3"/>
      <c r="C2967" s="3"/>
      <c r="D2967" s="3"/>
      <c r="E2967" s="3"/>
      <c r="F2967" s="3"/>
      <c r="G2967" s="3"/>
      <c r="H2967" s="3"/>
      <c r="I2967" s="3"/>
      <c r="J2967" s="3"/>
      <c r="K2967" s="3"/>
      <c r="L2967" s="3"/>
      <c r="M2967" s="3"/>
      <c r="N2967" s="3"/>
    </row>
    <row r="2968" spans="1:14" ht="16.5" customHeight="1">
      <c r="A2968" s="3"/>
      <c r="B2968" s="3"/>
      <c r="C2968" s="3"/>
      <c r="D2968" s="3"/>
      <c r="E2968" s="3"/>
      <c r="F2968" s="3"/>
      <c r="G2968" s="3"/>
      <c r="H2968" s="3"/>
      <c r="I2968" s="3"/>
      <c r="J2968" s="3"/>
      <c r="K2968" s="3"/>
      <c r="L2968" s="3"/>
      <c r="M2968" s="3"/>
      <c r="N2968" s="3"/>
    </row>
    <row r="2969" spans="1:14" ht="16.5" customHeight="1">
      <c r="A2969" s="3"/>
      <c r="B2969" s="3"/>
      <c r="C2969" s="3"/>
      <c r="D2969" s="3"/>
      <c r="E2969" s="3"/>
      <c r="F2969" s="3"/>
      <c r="G2969" s="3"/>
      <c r="H2969" s="3"/>
      <c r="I2969" s="3"/>
      <c r="J2969" s="3"/>
      <c r="K2969" s="3"/>
      <c r="L2969" s="3"/>
      <c r="M2969" s="3"/>
      <c r="N2969" s="3"/>
    </row>
    <row r="2970" spans="1:14" ht="16.5" customHeight="1">
      <c r="A2970" s="3"/>
      <c r="B2970" s="3"/>
      <c r="C2970" s="3"/>
      <c r="D2970" s="3"/>
      <c r="E2970" s="3"/>
      <c r="F2970" s="3"/>
      <c r="G2970" s="3"/>
      <c r="H2970" s="3"/>
      <c r="I2970" s="3"/>
      <c r="J2970" s="3"/>
      <c r="K2970" s="3"/>
      <c r="L2970" s="3"/>
      <c r="M2970" s="3"/>
      <c r="N2970" s="3"/>
    </row>
    <row r="2971" spans="1:14" ht="16.5" customHeight="1">
      <c r="A2971" s="3"/>
      <c r="B2971" s="3"/>
      <c r="C2971" s="3"/>
      <c r="D2971" s="3"/>
      <c r="E2971" s="3"/>
      <c r="F2971" s="3"/>
      <c r="G2971" s="3"/>
      <c r="H2971" s="3"/>
      <c r="I2971" s="3"/>
      <c r="J2971" s="3"/>
      <c r="K2971" s="3"/>
      <c r="L2971" s="3"/>
      <c r="M2971" s="3"/>
      <c r="N2971" s="3"/>
    </row>
    <row r="2972" spans="1:14" ht="16.5" customHeight="1">
      <c r="A2972" s="3"/>
      <c r="B2972" s="3"/>
      <c r="C2972" s="3"/>
      <c r="D2972" s="3"/>
      <c r="E2972" s="3"/>
      <c r="F2972" s="3"/>
      <c r="G2972" s="3"/>
      <c r="H2972" s="3"/>
      <c r="I2972" s="3"/>
      <c r="J2972" s="3"/>
      <c r="K2972" s="3"/>
      <c r="L2972" s="3"/>
      <c r="M2972" s="3"/>
      <c r="N2972" s="3"/>
    </row>
    <row r="2973" spans="1:14" ht="16.5" customHeight="1">
      <c r="A2973" s="3"/>
      <c r="B2973" s="3"/>
      <c r="C2973" s="3"/>
      <c r="D2973" s="3"/>
      <c r="E2973" s="3"/>
      <c r="F2973" s="3"/>
      <c r="G2973" s="3"/>
      <c r="H2973" s="3"/>
      <c r="I2973" s="3"/>
      <c r="J2973" s="3"/>
      <c r="K2973" s="3"/>
      <c r="L2973" s="3"/>
      <c r="M2973" s="3"/>
      <c r="N2973" s="3"/>
    </row>
    <row r="2974" spans="1:14" ht="16.5" customHeight="1">
      <c r="A2974" s="3"/>
      <c r="B2974" s="3"/>
      <c r="C2974" s="3"/>
      <c r="D2974" s="3"/>
      <c r="E2974" s="3"/>
      <c r="F2974" s="3"/>
      <c r="G2974" s="3"/>
      <c r="H2974" s="3"/>
      <c r="I2974" s="3"/>
      <c r="J2974" s="3"/>
      <c r="K2974" s="3"/>
      <c r="L2974" s="3"/>
      <c r="M2974" s="3"/>
      <c r="N2974" s="3"/>
    </row>
    <row r="2975" spans="1:14" ht="16.5" customHeight="1">
      <c r="A2975" s="3"/>
      <c r="B2975" s="3"/>
      <c r="C2975" s="3"/>
      <c r="D2975" s="3"/>
      <c r="E2975" s="3"/>
      <c r="F2975" s="3"/>
      <c r="G2975" s="3"/>
      <c r="H2975" s="3"/>
      <c r="I2975" s="3"/>
      <c r="J2975" s="3"/>
      <c r="K2975" s="3"/>
      <c r="L2975" s="3"/>
      <c r="M2975" s="3"/>
      <c r="N2975" s="3"/>
    </row>
    <row r="2976" spans="1:14" ht="16.5" customHeight="1">
      <c r="A2976" s="3"/>
      <c r="B2976" s="3"/>
      <c r="C2976" s="3"/>
      <c r="D2976" s="3"/>
      <c r="E2976" s="3"/>
      <c r="F2976" s="3"/>
      <c r="G2976" s="3"/>
      <c r="H2976" s="3"/>
      <c r="I2976" s="3"/>
      <c r="J2976" s="3"/>
      <c r="K2976" s="3"/>
      <c r="L2976" s="3"/>
      <c r="M2976" s="3"/>
      <c r="N2976" s="3"/>
    </row>
    <row r="2977" spans="1:14" ht="16.5" customHeight="1">
      <c r="A2977" s="3"/>
      <c r="B2977" s="3"/>
      <c r="C2977" s="3"/>
      <c r="D2977" s="3"/>
      <c r="E2977" s="3"/>
      <c r="F2977" s="3"/>
      <c r="G2977" s="3"/>
      <c r="H2977" s="3"/>
      <c r="I2977" s="3"/>
      <c r="J2977" s="3"/>
      <c r="K2977" s="3"/>
      <c r="L2977" s="3"/>
      <c r="M2977" s="3"/>
      <c r="N2977" s="3"/>
    </row>
    <row r="2978" spans="1:14" ht="16.5" customHeight="1">
      <c r="A2978" s="3"/>
      <c r="B2978" s="3"/>
      <c r="C2978" s="3"/>
      <c r="D2978" s="3"/>
      <c r="E2978" s="3"/>
      <c r="F2978" s="3"/>
      <c r="G2978" s="3"/>
      <c r="H2978" s="3"/>
      <c r="I2978" s="3"/>
      <c r="J2978" s="3"/>
      <c r="K2978" s="3"/>
      <c r="L2978" s="3"/>
      <c r="M2978" s="3"/>
      <c r="N2978" s="3"/>
    </row>
    <row r="2979" spans="1:14" ht="16.5" customHeight="1">
      <c r="A2979" s="3"/>
      <c r="B2979" s="3"/>
      <c r="C2979" s="3"/>
      <c r="D2979" s="3"/>
      <c r="E2979" s="3"/>
      <c r="F2979" s="3"/>
      <c r="G2979" s="3"/>
      <c r="H2979" s="3"/>
      <c r="I2979" s="3"/>
      <c r="J2979" s="3"/>
      <c r="K2979" s="3"/>
      <c r="L2979" s="3"/>
      <c r="M2979" s="3"/>
      <c r="N2979" s="3"/>
    </row>
    <row r="2980" spans="1:14" ht="16.5" customHeight="1">
      <c r="A2980" s="3"/>
      <c r="B2980" s="3"/>
      <c r="C2980" s="3"/>
      <c r="D2980" s="3"/>
      <c r="E2980" s="3"/>
      <c r="F2980" s="3"/>
      <c r="G2980" s="3"/>
      <c r="H2980" s="3"/>
      <c r="I2980" s="3"/>
      <c r="J2980" s="3"/>
      <c r="K2980" s="3"/>
      <c r="L2980" s="3"/>
      <c r="M2980" s="3"/>
      <c r="N2980" s="3"/>
    </row>
    <row r="2981" spans="1:14" ht="16.5" customHeight="1">
      <c r="A2981" s="3"/>
      <c r="B2981" s="3"/>
      <c r="C2981" s="3"/>
      <c r="D2981" s="3"/>
      <c r="E2981" s="3"/>
      <c r="F2981" s="3"/>
      <c r="G2981" s="3"/>
      <c r="H2981" s="3"/>
      <c r="I2981" s="3"/>
      <c r="J2981" s="3"/>
      <c r="K2981" s="3"/>
      <c r="L2981" s="3"/>
      <c r="M2981" s="3"/>
      <c r="N2981" s="3"/>
    </row>
    <row r="2982" spans="1:14" ht="16.5" customHeight="1">
      <c r="A2982" s="3"/>
      <c r="B2982" s="3"/>
      <c r="C2982" s="3"/>
      <c r="D2982" s="3"/>
      <c r="E2982" s="3"/>
      <c r="F2982" s="3"/>
      <c r="G2982" s="3"/>
      <c r="H2982" s="3"/>
      <c r="I2982" s="3"/>
      <c r="J2982" s="3"/>
      <c r="K2982" s="3"/>
      <c r="L2982" s="3"/>
      <c r="M2982" s="3"/>
      <c r="N2982" s="3"/>
    </row>
    <row r="2983" spans="1:14" ht="16.5" customHeight="1">
      <c r="A2983" s="3"/>
      <c r="B2983" s="3"/>
      <c r="C2983" s="3"/>
      <c r="D2983" s="3"/>
      <c r="E2983" s="3"/>
      <c r="F2983" s="3"/>
      <c r="G2983" s="3"/>
      <c r="H2983" s="3"/>
      <c r="I2983" s="3"/>
      <c r="J2983" s="3"/>
      <c r="K2983" s="3"/>
      <c r="L2983" s="3"/>
      <c r="M2983" s="3"/>
      <c r="N2983" s="3"/>
    </row>
    <row r="2984" spans="1:14" ht="16.5" customHeight="1">
      <c r="A2984" s="3"/>
      <c r="B2984" s="3"/>
      <c r="C2984" s="3"/>
      <c r="D2984" s="3"/>
      <c r="E2984" s="3"/>
      <c r="F2984" s="3"/>
      <c r="G2984" s="3"/>
      <c r="H2984" s="3"/>
      <c r="I2984" s="3"/>
      <c r="J2984" s="3"/>
      <c r="K2984" s="3"/>
      <c r="L2984" s="3"/>
      <c r="M2984" s="3"/>
      <c r="N2984" s="3"/>
    </row>
    <row r="2985" spans="1:14" ht="16.5" customHeight="1">
      <c r="A2985" s="3"/>
      <c r="B2985" s="3"/>
      <c r="C2985" s="3"/>
      <c r="D2985" s="3"/>
      <c r="E2985" s="3"/>
      <c r="F2985" s="3"/>
      <c r="G2985" s="3"/>
      <c r="H2985" s="3"/>
      <c r="I2985" s="3"/>
      <c r="J2985" s="3"/>
      <c r="K2985" s="3"/>
      <c r="L2985" s="3"/>
      <c r="M2985" s="3"/>
      <c r="N2985" s="3"/>
    </row>
    <row r="2986" spans="1:14" ht="16.5" customHeight="1">
      <c r="A2986" s="3"/>
      <c r="B2986" s="3"/>
      <c r="C2986" s="3"/>
      <c r="D2986" s="3"/>
      <c r="E2986" s="3"/>
      <c r="F2986" s="3"/>
      <c r="G2986" s="3"/>
      <c r="H2986" s="3"/>
      <c r="I2986" s="3"/>
      <c r="J2986" s="3"/>
      <c r="K2986" s="3"/>
      <c r="L2986" s="3"/>
      <c r="M2986" s="3"/>
      <c r="N2986" s="3"/>
    </row>
    <row r="2987" spans="1:14" ht="16.5" customHeight="1">
      <c r="A2987" s="3"/>
      <c r="B2987" s="3"/>
      <c r="C2987" s="3"/>
      <c r="D2987" s="3"/>
      <c r="E2987" s="3"/>
      <c r="F2987" s="3"/>
      <c r="G2987" s="3"/>
      <c r="H2987" s="3"/>
      <c r="I2987" s="3"/>
      <c r="J2987" s="3"/>
      <c r="K2987" s="3"/>
      <c r="L2987" s="3"/>
      <c r="M2987" s="3"/>
      <c r="N2987" s="3"/>
    </row>
    <row r="2988" spans="1:14" ht="16.5" customHeight="1">
      <c r="A2988" s="3"/>
      <c r="B2988" s="3"/>
      <c r="C2988" s="3"/>
      <c r="D2988" s="3"/>
      <c r="E2988" s="3"/>
      <c r="F2988" s="3"/>
      <c r="G2988" s="3"/>
      <c r="H2988" s="3"/>
      <c r="I2988" s="3"/>
      <c r="J2988" s="3"/>
      <c r="K2988" s="3"/>
      <c r="L2988" s="3"/>
      <c r="M2988" s="3"/>
      <c r="N2988" s="3"/>
    </row>
    <row r="2989" spans="1:14" ht="16.5" customHeight="1">
      <c r="A2989" s="3"/>
      <c r="B2989" s="3"/>
      <c r="C2989" s="3"/>
      <c r="D2989" s="3"/>
      <c r="E2989" s="3"/>
      <c r="F2989" s="3"/>
      <c r="G2989" s="3"/>
      <c r="H2989" s="3"/>
      <c r="I2989" s="3"/>
      <c r="J2989" s="3"/>
      <c r="K2989" s="3"/>
      <c r="L2989" s="3"/>
      <c r="M2989" s="3"/>
      <c r="N2989" s="3"/>
    </row>
    <row r="2990" spans="1:14" ht="16.5" customHeight="1">
      <c r="A2990" s="3"/>
      <c r="B2990" s="3"/>
      <c r="C2990" s="3"/>
      <c r="D2990" s="3"/>
      <c r="E2990" s="3"/>
      <c r="F2990" s="3"/>
      <c r="G2990" s="3"/>
      <c r="H2990" s="3"/>
      <c r="I2990" s="3"/>
      <c r="J2990" s="3"/>
      <c r="K2990" s="3"/>
      <c r="L2990" s="3"/>
      <c r="M2990" s="3"/>
      <c r="N2990" s="3"/>
    </row>
    <row r="2991" spans="1:14" ht="16.5" customHeight="1">
      <c r="A2991" s="3"/>
      <c r="B2991" s="3"/>
      <c r="C2991" s="3"/>
      <c r="D2991" s="3"/>
      <c r="E2991" s="3"/>
      <c r="F2991" s="3"/>
      <c r="G2991" s="3"/>
      <c r="H2991" s="3"/>
      <c r="I2991" s="3"/>
      <c r="J2991" s="3"/>
      <c r="K2991" s="3"/>
      <c r="L2991" s="3"/>
      <c r="M2991" s="3"/>
      <c r="N2991" s="3"/>
    </row>
    <row r="2992" spans="1:14" ht="16.5" customHeight="1">
      <c r="A2992" s="3"/>
      <c r="B2992" s="3"/>
      <c r="C2992" s="3"/>
      <c r="D2992" s="3"/>
      <c r="E2992" s="3"/>
      <c r="F2992" s="3"/>
      <c r="G2992" s="3"/>
      <c r="H2992" s="3"/>
      <c r="I2992" s="3"/>
      <c r="J2992" s="3"/>
      <c r="K2992" s="3"/>
      <c r="L2992" s="3"/>
      <c r="M2992" s="3"/>
      <c r="N2992" s="3"/>
    </row>
    <row r="2993" spans="1:14" ht="16.5" customHeight="1">
      <c r="A2993" s="3"/>
      <c r="B2993" s="3"/>
      <c r="C2993" s="3"/>
      <c r="D2993" s="3"/>
      <c r="E2993" s="3"/>
      <c r="F2993" s="3"/>
      <c r="G2993" s="3"/>
      <c r="H2993" s="3"/>
      <c r="I2993" s="3"/>
      <c r="J2993" s="3"/>
      <c r="K2993" s="3"/>
      <c r="L2993" s="3"/>
      <c r="M2993" s="3"/>
      <c r="N2993" s="3"/>
    </row>
    <row r="2994" spans="1:14" ht="16.5" customHeight="1">
      <c r="A2994" s="3"/>
      <c r="B2994" s="3"/>
      <c r="C2994" s="3"/>
      <c r="D2994" s="3"/>
      <c r="E2994" s="3"/>
      <c r="F2994" s="3"/>
      <c r="G2994" s="3"/>
      <c r="H2994" s="3"/>
      <c r="I2994" s="3"/>
      <c r="J2994" s="3"/>
      <c r="K2994" s="3"/>
      <c r="L2994" s="3"/>
      <c r="M2994" s="3"/>
      <c r="N2994" s="3"/>
    </row>
    <row r="2995" spans="1:14" ht="16.5" customHeight="1">
      <c r="A2995" s="3"/>
      <c r="B2995" s="3"/>
      <c r="C2995" s="3"/>
      <c r="D2995" s="3"/>
      <c r="E2995" s="3"/>
      <c r="F2995" s="3"/>
      <c r="G2995" s="3"/>
      <c r="H2995" s="3"/>
      <c r="I2995" s="3"/>
      <c r="J2995" s="3"/>
      <c r="K2995" s="3"/>
      <c r="L2995" s="3"/>
      <c r="M2995" s="3"/>
      <c r="N2995" s="3"/>
    </row>
    <row r="2996" spans="1:14" ht="16.5" customHeight="1">
      <c r="A2996" s="3"/>
      <c r="B2996" s="3"/>
      <c r="C2996" s="3"/>
      <c r="D2996" s="3"/>
      <c r="E2996" s="3"/>
      <c r="F2996" s="3"/>
      <c r="G2996" s="3"/>
      <c r="H2996" s="3"/>
      <c r="I2996" s="3"/>
      <c r="J2996" s="3"/>
      <c r="K2996" s="3"/>
      <c r="L2996" s="3"/>
      <c r="M2996" s="3"/>
      <c r="N2996" s="3"/>
    </row>
    <row r="2997" spans="1:14" ht="16.5" customHeight="1">
      <c r="A2997" s="3"/>
      <c r="B2997" s="3"/>
      <c r="C2997" s="3"/>
      <c r="D2997" s="3"/>
      <c r="E2997" s="3"/>
      <c r="F2997" s="3"/>
      <c r="G2997" s="3"/>
      <c r="H2997" s="3"/>
      <c r="I2997" s="3"/>
      <c r="J2997" s="3"/>
      <c r="K2997" s="3"/>
      <c r="L2997" s="3"/>
      <c r="M2997" s="3"/>
      <c r="N2997" s="3"/>
    </row>
    <row r="2998" spans="1:14" ht="16.5" customHeight="1">
      <c r="A2998" s="3"/>
      <c r="B2998" s="3"/>
      <c r="C2998" s="3"/>
      <c r="D2998" s="3"/>
      <c r="E2998" s="3"/>
      <c r="F2998" s="3"/>
      <c r="G2998" s="3"/>
      <c r="H2998" s="3"/>
      <c r="I2998" s="3"/>
      <c r="J2998" s="3"/>
      <c r="K2998" s="3"/>
      <c r="L2998" s="3"/>
      <c r="M2998" s="3"/>
      <c r="N2998" s="3"/>
    </row>
    <row r="2999" spans="1:14" ht="16.5" customHeight="1">
      <c r="A2999" s="3"/>
      <c r="B2999" s="3"/>
      <c r="C2999" s="3"/>
      <c r="D2999" s="3"/>
      <c r="E2999" s="3"/>
      <c r="F2999" s="3"/>
      <c r="G2999" s="3"/>
      <c r="H2999" s="3"/>
      <c r="I2999" s="3"/>
      <c r="J2999" s="3"/>
      <c r="K2999" s="3"/>
      <c r="L2999" s="3"/>
      <c r="M2999" s="3"/>
      <c r="N2999" s="3"/>
    </row>
    <row r="3000" spans="1:14" ht="16.5" customHeight="1">
      <c r="A3000" s="3"/>
      <c r="B3000" s="3"/>
      <c r="C3000" s="3"/>
      <c r="D3000" s="3"/>
      <c r="E3000" s="3"/>
      <c r="F3000" s="3"/>
      <c r="G3000" s="3"/>
      <c r="H3000" s="3"/>
      <c r="I3000" s="3"/>
      <c r="J3000" s="3"/>
      <c r="K3000" s="3"/>
      <c r="L3000" s="3"/>
      <c r="M3000" s="3"/>
      <c r="N3000" s="3"/>
    </row>
    <row r="3001" spans="1:14" ht="16.5" customHeight="1">
      <c r="A3001" s="3"/>
      <c r="B3001" s="3"/>
      <c r="C3001" s="3"/>
      <c r="D3001" s="3"/>
      <c r="E3001" s="3"/>
      <c r="F3001" s="3"/>
      <c r="G3001" s="3"/>
      <c r="H3001" s="3"/>
      <c r="I3001" s="3"/>
      <c r="J3001" s="3"/>
      <c r="K3001" s="3"/>
      <c r="L3001" s="3"/>
      <c r="M3001" s="3"/>
      <c r="N3001" s="3"/>
    </row>
    <row r="3002" spans="1:14" ht="16.5" customHeight="1">
      <c r="A3002" s="3"/>
      <c r="B3002" s="3"/>
      <c r="C3002" s="3"/>
      <c r="D3002" s="3"/>
      <c r="E3002" s="3"/>
      <c r="F3002" s="3"/>
      <c r="G3002" s="3"/>
      <c r="H3002" s="3"/>
      <c r="I3002" s="3"/>
      <c r="J3002" s="3"/>
      <c r="K3002" s="3"/>
      <c r="L3002" s="3"/>
      <c r="M3002" s="3"/>
      <c r="N3002" s="3"/>
    </row>
    <row r="3003" spans="1:14" ht="16.5" customHeight="1">
      <c r="A3003" s="3"/>
      <c r="B3003" s="3"/>
      <c r="C3003" s="3"/>
      <c r="D3003" s="3"/>
      <c r="E3003" s="3"/>
      <c r="F3003" s="3"/>
      <c r="G3003" s="3"/>
      <c r="H3003" s="3"/>
      <c r="I3003" s="3"/>
      <c r="J3003" s="3"/>
      <c r="K3003" s="3"/>
      <c r="L3003" s="3"/>
      <c r="M3003" s="3"/>
      <c r="N3003" s="3"/>
    </row>
    <row r="3004" spans="1:14" ht="16.5" customHeight="1">
      <c r="A3004" s="3"/>
      <c r="B3004" s="3"/>
      <c r="C3004" s="3"/>
      <c r="D3004" s="3"/>
      <c r="E3004" s="3"/>
      <c r="F3004" s="3"/>
      <c r="G3004" s="3"/>
      <c r="H3004" s="3"/>
      <c r="I3004" s="3"/>
      <c r="J3004" s="3"/>
      <c r="K3004" s="3"/>
      <c r="L3004" s="3"/>
      <c r="M3004" s="3"/>
      <c r="N3004" s="3"/>
    </row>
    <row r="3005" spans="1:14" ht="16.5" customHeight="1">
      <c r="A3005" s="3"/>
      <c r="B3005" s="3"/>
      <c r="C3005" s="3"/>
      <c r="D3005" s="3"/>
      <c r="E3005" s="3"/>
      <c r="F3005" s="3"/>
      <c r="G3005" s="3"/>
      <c r="H3005" s="3"/>
      <c r="I3005" s="3"/>
      <c r="J3005" s="3"/>
      <c r="K3005" s="3"/>
      <c r="L3005" s="3"/>
      <c r="M3005" s="3"/>
      <c r="N3005" s="3"/>
    </row>
    <row r="3006" spans="1:14" ht="16.5" customHeight="1">
      <c r="A3006" s="3"/>
      <c r="B3006" s="3"/>
      <c r="C3006" s="3"/>
      <c r="D3006" s="3"/>
      <c r="E3006" s="3"/>
      <c r="F3006" s="3"/>
      <c r="G3006" s="3"/>
      <c r="H3006" s="3"/>
      <c r="I3006" s="3"/>
      <c r="J3006" s="3"/>
      <c r="K3006" s="3"/>
      <c r="L3006" s="3"/>
      <c r="M3006" s="3"/>
      <c r="N3006" s="3"/>
    </row>
    <row r="3007" spans="1:14" ht="16.5" customHeight="1">
      <c r="A3007" s="3"/>
      <c r="B3007" s="3"/>
      <c r="C3007" s="3"/>
      <c r="D3007" s="3"/>
      <c r="E3007" s="3"/>
      <c r="F3007" s="3"/>
      <c r="G3007" s="3"/>
      <c r="H3007" s="3"/>
      <c r="I3007" s="3"/>
      <c r="J3007" s="3"/>
      <c r="K3007" s="3"/>
      <c r="L3007" s="3"/>
      <c r="M3007" s="3"/>
      <c r="N3007" s="3"/>
    </row>
    <row r="3008" spans="1:14" ht="16.5" customHeight="1">
      <c r="A3008" s="3"/>
      <c r="B3008" s="3"/>
      <c r="C3008" s="3"/>
      <c r="D3008" s="3"/>
      <c r="E3008" s="3"/>
      <c r="F3008" s="3"/>
      <c r="G3008" s="3"/>
      <c r="H3008" s="3"/>
      <c r="I3008" s="3"/>
      <c r="J3008" s="3"/>
      <c r="K3008" s="3"/>
      <c r="L3008" s="3"/>
      <c r="M3008" s="3"/>
      <c r="N3008" s="3"/>
    </row>
    <row r="3009" spans="1:14" ht="16.5" customHeight="1">
      <c r="A3009" s="3"/>
      <c r="B3009" s="3"/>
      <c r="C3009" s="3"/>
      <c r="D3009" s="3"/>
      <c r="E3009" s="3"/>
      <c r="F3009" s="3"/>
      <c r="G3009" s="3"/>
      <c r="H3009" s="3"/>
      <c r="I3009" s="3"/>
      <c r="J3009" s="3"/>
      <c r="K3009" s="3"/>
      <c r="L3009" s="3"/>
      <c r="M3009" s="3"/>
      <c r="N3009" s="3"/>
    </row>
    <row r="3010" spans="1:14" ht="16.5" customHeight="1">
      <c r="A3010" s="3"/>
      <c r="B3010" s="3"/>
      <c r="C3010" s="3"/>
      <c r="D3010" s="3"/>
      <c r="E3010" s="3"/>
      <c r="F3010" s="3"/>
      <c r="G3010" s="3"/>
      <c r="H3010" s="3"/>
      <c r="I3010" s="3"/>
      <c r="J3010" s="3"/>
      <c r="K3010" s="3"/>
      <c r="L3010" s="3"/>
      <c r="M3010" s="3"/>
      <c r="N3010" s="3"/>
    </row>
    <row r="3011" spans="1:14" ht="16.5" customHeight="1">
      <c r="A3011" s="3"/>
      <c r="B3011" s="3"/>
      <c r="C3011" s="3"/>
      <c r="D3011" s="3"/>
      <c r="E3011" s="3"/>
      <c r="F3011" s="3"/>
      <c r="G3011" s="3"/>
      <c r="H3011" s="3"/>
      <c r="I3011" s="3"/>
      <c r="J3011" s="3"/>
      <c r="K3011" s="3"/>
      <c r="L3011" s="3"/>
      <c r="M3011" s="3"/>
      <c r="N3011" s="3"/>
    </row>
    <row r="3012" spans="1:14" ht="16.5" customHeight="1">
      <c r="A3012" s="3"/>
      <c r="B3012" s="3"/>
      <c r="C3012" s="3"/>
      <c r="D3012" s="3"/>
      <c r="E3012" s="3"/>
      <c r="F3012" s="3"/>
      <c r="G3012" s="3"/>
      <c r="H3012" s="3"/>
      <c r="I3012" s="3"/>
      <c r="J3012" s="3"/>
      <c r="K3012" s="3"/>
      <c r="L3012" s="3"/>
      <c r="M3012" s="3"/>
      <c r="N3012" s="3"/>
    </row>
    <row r="3013" spans="1:14" ht="16.5" customHeight="1">
      <c r="A3013" s="3"/>
      <c r="B3013" s="3"/>
      <c r="C3013" s="3"/>
      <c r="D3013" s="3"/>
      <c r="E3013" s="3"/>
      <c r="F3013" s="3"/>
      <c r="G3013" s="3"/>
      <c r="H3013" s="3"/>
      <c r="I3013" s="3"/>
      <c r="J3013" s="3"/>
      <c r="K3013" s="3"/>
      <c r="L3013" s="3"/>
      <c r="M3013" s="3"/>
      <c r="N3013" s="3"/>
    </row>
    <row r="3014" spans="1:14" ht="16.5" customHeight="1">
      <c r="A3014" s="3"/>
      <c r="B3014" s="3"/>
      <c r="C3014" s="3"/>
      <c r="D3014" s="3"/>
      <c r="E3014" s="3"/>
      <c r="F3014" s="3"/>
      <c r="G3014" s="3"/>
      <c r="H3014" s="3"/>
      <c r="I3014" s="3"/>
      <c r="J3014" s="3"/>
      <c r="K3014" s="3"/>
      <c r="L3014" s="3"/>
      <c r="M3014" s="3"/>
      <c r="N3014" s="3"/>
    </row>
    <row r="3015" spans="1:14" ht="16.5" customHeight="1">
      <c r="A3015" s="3"/>
      <c r="B3015" s="3"/>
      <c r="C3015" s="3"/>
      <c r="D3015" s="3"/>
      <c r="E3015" s="3"/>
      <c r="F3015" s="3"/>
      <c r="G3015" s="3"/>
      <c r="H3015" s="3"/>
      <c r="I3015" s="3"/>
      <c r="J3015" s="3"/>
      <c r="K3015" s="3"/>
      <c r="L3015" s="3"/>
      <c r="M3015" s="3"/>
      <c r="N3015" s="3"/>
    </row>
    <row r="3016" spans="1:14" ht="16.5" customHeight="1">
      <c r="A3016" s="3"/>
      <c r="B3016" s="3"/>
      <c r="C3016" s="3"/>
      <c r="D3016" s="3"/>
      <c r="E3016" s="3"/>
      <c r="F3016" s="3"/>
      <c r="G3016" s="3"/>
      <c r="H3016" s="3"/>
      <c r="I3016" s="3"/>
      <c r="J3016" s="3"/>
      <c r="K3016" s="3"/>
      <c r="L3016" s="3"/>
      <c r="M3016" s="3"/>
      <c r="N3016" s="3"/>
    </row>
    <row r="3017" spans="1:14" ht="16.5" customHeight="1">
      <c r="A3017" s="3"/>
      <c r="B3017" s="3"/>
      <c r="C3017" s="3"/>
      <c r="D3017" s="3"/>
      <c r="E3017" s="3"/>
      <c r="F3017" s="3"/>
      <c r="G3017" s="3"/>
      <c r="H3017" s="3"/>
      <c r="I3017" s="3"/>
      <c r="J3017" s="3"/>
      <c r="K3017" s="3"/>
      <c r="L3017" s="3"/>
      <c r="M3017" s="3"/>
      <c r="N3017" s="3"/>
    </row>
    <row r="3018" spans="1:14" ht="16.5" customHeight="1">
      <c r="A3018" s="3"/>
      <c r="B3018" s="3"/>
      <c r="C3018" s="3"/>
      <c r="D3018" s="3"/>
      <c r="E3018" s="3"/>
      <c r="F3018" s="3"/>
      <c r="G3018" s="3"/>
      <c r="H3018" s="3"/>
      <c r="I3018" s="3"/>
      <c r="J3018" s="3"/>
      <c r="K3018" s="3"/>
      <c r="L3018" s="3"/>
      <c r="M3018" s="3"/>
      <c r="N3018" s="3"/>
    </row>
    <row r="3019" spans="1:14" ht="16.5" customHeight="1">
      <c r="A3019" s="3"/>
      <c r="B3019" s="3"/>
      <c r="C3019" s="3"/>
      <c r="D3019" s="3"/>
      <c r="E3019" s="3"/>
      <c r="F3019" s="3"/>
      <c r="G3019" s="3"/>
      <c r="H3019" s="3"/>
      <c r="I3019" s="3"/>
      <c r="J3019" s="3"/>
      <c r="K3019" s="3"/>
      <c r="L3019" s="3"/>
      <c r="M3019" s="3"/>
      <c r="N3019" s="3"/>
    </row>
    <row r="3020" spans="1:14" ht="16.5" customHeight="1">
      <c r="A3020" s="3"/>
      <c r="B3020" s="3"/>
      <c r="C3020" s="3"/>
      <c r="D3020" s="3"/>
      <c r="E3020" s="3"/>
      <c r="F3020" s="3"/>
      <c r="G3020" s="3"/>
      <c r="H3020" s="3"/>
      <c r="I3020" s="3"/>
      <c r="J3020" s="3"/>
      <c r="K3020" s="3"/>
      <c r="L3020" s="3"/>
      <c r="M3020" s="3"/>
      <c r="N3020" s="3"/>
    </row>
    <row r="3021" spans="1:14" ht="16.5" customHeight="1">
      <c r="A3021" s="3"/>
      <c r="B3021" s="3"/>
      <c r="C3021" s="3"/>
      <c r="D3021" s="3"/>
      <c r="E3021" s="3"/>
      <c r="F3021" s="3"/>
      <c r="G3021" s="3"/>
      <c r="H3021" s="3"/>
      <c r="I3021" s="3"/>
      <c r="J3021" s="3"/>
      <c r="K3021" s="3"/>
      <c r="L3021" s="3"/>
      <c r="M3021" s="3"/>
      <c r="N3021" s="3"/>
    </row>
    <row r="3022" spans="1:14" ht="16.5" customHeight="1">
      <c r="A3022" s="3"/>
      <c r="B3022" s="3"/>
      <c r="C3022" s="3"/>
      <c r="D3022" s="3"/>
      <c r="E3022" s="3"/>
      <c r="F3022" s="3"/>
      <c r="G3022" s="3"/>
      <c r="H3022" s="3"/>
      <c r="I3022" s="3"/>
      <c r="J3022" s="3"/>
      <c r="K3022" s="3"/>
      <c r="L3022" s="3"/>
      <c r="M3022" s="3"/>
      <c r="N3022" s="3"/>
    </row>
    <row r="3023" spans="1:14" ht="16.5" customHeight="1">
      <c r="A3023" s="3"/>
      <c r="B3023" s="3"/>
      <c r="C3023" s="3"/>
      <c r="D3023" s="3"/>
      <c r="E3023" s="3"/>
      <c r="F3023" s="3"/>
      <c r="G3023" s="3"/>
      <c r="H3023" s="3"/>
      <c r="I3023" s="3"/>
      <c r="J3023" s="3"/>
      <c r="K3023" s="3"/>
      <c r="L3023" s="3"/>
      <c r="M3023" s="3"/>
      <c r="N3023" s="3"/>
    </row>
    <row r="3024" spans="1:14" ht="16.5" customHeight="1">
      <c r="A3024" s="3"/>
      <c r="B3024" s="3"/>
      <c r="C3024" s="3"/>
      <c r="D3024" s="3"/>
      <c r="E3024" s="3"/>
      <c r="F3024" s="3"/>
      <c r="G3024" s="3"/>
      <c r="H3024" s="3"/>
      <c r="I3024" s="3"/>
      <c r="J3024" s="3"/>
      <c r="K3024" s="3"/>
      <c r="L3024" s="3"/>
      <c r="M3024" s="3"/>
      <c r="N3024" s="3"/>
    </row>
    <row r="3025" spans="1:14" ht="16.5" customHeight="1">
      <c r="A3025" s="3"/>
      <c r="B3025" s="3"/>
      <c r="C3025" s="3"/>
      <c r="D3025" s="3"/>
      <c r="E3025" s="3"/>
      <c r="F3025" s="3"/>
      <c r="G3025" s="3"/>
      <c r="H3025" s="3"/>
      <c r="I3025" s="3"/>
      <c r="J3025" s="3"/>
      <c r="K3025" s="3"/>
      <c r="L3025" s="3"/>
      <c r="M3025" s="3"/>
      <c r="N3025" s="3"/>
    </row>
    <row r="3026" spans="1:14" ht="16.5" customHeight="1">
      <c r="A3026" s="3"/>
      <c r="B3026" s="3"/>
      <c r="C3026" s="3"/>
      <c r="D3026" s="3"/>
      <c r="E3026" s="3"/>
      <c r="F3026" s="3"/>
      <c r="G3026" s="3"/>
      <c r="H3026" s="3"/>
      <c r="I3026" s="3"/>
      <c r="J3026" s="3"/>
      <c r="K3026" s="3"/>
      <c r="L3026" s="3"/>
      <c r="M3026" s="3"/>
      <c r="N3026" s="3"/>
    </row>
    <row r="3027" spans="1:14" ht="16.5" customHeight="1">
      <c r="A3027" s="3"/>
      <c r="B3027" s="3"/>
      <c r="C3027" s="3"/>
      <c r="D3027" s="3"/>
      <c r="E3027" s="3"/>
      <c r="F3027" s="3"/>
      <c r="G3027" s="3"/>
      <c r="H3027" s="3"/>
      <c r="I3027" s="3"/>
      <c r="J3027" s="3"/>
      <c r="K3027" s="3"/>
      <c r="L3027" s="3"/>
      <c r="M3027" s="3"/>
      <c r="N3027" s="3"/>
    </row>
    <row r="3028" spans="1:14" ht="16.5" customHeight="1">
      <c r="A3028" s="3"/>
      <c r="B3028" s="3"/>
      <c r="C3028" s="3"/>
      <c r="D3028" s="3"/>
      <c r="E3028" s="3"/>
      <c r="F3028" s="3"/>
      <c r="G3028" s="3"/>
      <c r="H3028" s="3"/>
      <c r="I3028" s="3"/>
      <c r="J3028" s="3"/>
      <c r="K3028" s="3"/>
      <c r="L3028" s="3"/>
      <c r="M3028" s="3"/>
      <c r="N3028" s="3"/>
    </row>
    <row r="3029" spans="1:14" ht="16.5" customHeight="1">
      <c r="A3029" s="3"/>
      <c r="B3029" s="3"/>
      <c r="C3029" s="3"/>
      <c r="D3029" s="3"/>
      <c r="E3029" s="3"/>
      <c r="F3029" s="3"/>
      <c r="G3029" s="3"/>
      <c r="H3029" s="3"/>
      <c r="I3029" s="3"/>
      <c r="J3029" s="3"/>
      <c r="K3029" s="3"/>
      <c r="L3029" s="3"/>
      <c r="M3029" s="3"/>
      <c r="N3029" s="3"/>
    </row>
    <row r="3030" spans="1:14" ht="16.5" customHeight="1">
      <c r="A3030" s="3"/>
      <c r="B3030" s="3"/>
      <c r="C3030" s="3"/>
      <c r="D3030" s="3"/>
      <c r="E3030" s="3"/>
      <c r="F3030" s="3"/>
      <c r="G3030" s="3"/>
      <c r="H3030" s="3"/>
      <c r="I3030" s="3"/>
      <c r="J3030" s="3"/>
      <c r="K3030" s="3"/>
      <c r="L3030" s="3"/>
      <c r="M3030" s="3"/>
      <c r="N3030" s="3"/>
    </row>
    <row r="3031" spans="1:14" ht="16.5" customHeight="1">
      <c r="A3031" s="3"/>
      <c r="B3031" s="3"/>
      <c r="C3031" s="3"/>
      <c r="D3031" s="3"/>
      <c r="E3031" s="3"/>
      <c r="F3031" s="3"/>
      <c r="G3031" s="3"/>
      <c r="H3031" s="3"/>
      <c r="I3031" s="3"/>
      <c r="J3031" s="3"/>
      <c r="K3031" s="3"/>
      <c r="L3031" s="3"/>
      <c r="M3031" s="3"/>
      <c r="N3031" s="3"/>
    </row>
    <row r="3032" spans="1:14" ht="16.5" customHeight="1">
      <c r="A3032" s="3"/>
      <c r="B3032" s="3"/>
      <c r="C3032" s="3"/>
      <c r="D3032" s="3"/>
      <c r="E3032" s="3"/>
      <c r="F3032" s="3"/>
      <c r="G3032" s="3"/>
      <c r="H3032" s="3"/>
      <c r="I3032" s="3"/>
      <c r="J3032" s="3"/>
      <c r="K3032" s="3"/>
      <c r="L3032" s="3"/>
      <c r="M3032" s="3"/>
      <c r="N3032" s="3"/>
    </row>
    <row r="3033" spans="1:14" ht="16.5" customHeight="1">
      <c r="A3033" s="3"/>
      <c r="B3033" s="3"/>
      <c r="C3033" s="3"/>
      <c r="D3033" s="3"/>
      <c r="E3033" s="3"/>
      <c r="F3033" s="3"/>
      <c r="G3033" s="3"/>
      <c r="H3033" s="3"/>
      <c r="I3033" s="3"/>
      <c r="J3033" s="3"/>
      <c r="K3033" s="3"/>
      <c r="L3033" s="3"/>
      <c r="M3033" s="3"/>
      <c r="N3033" s="3"/>
    </row>
    <row r="3034" spans="1:14" ht="16.5" customHeight="1">
      <c r="A3034" s="3"/>
      <c r="B3034" s="3"/>
      <c r="C3034" s="3"/>
      <c r="D3034" s="3"/>
      <c r="E3034" s="3"/>
      <c r="F3034" s="3"/>
      <c r="G3034" s="3"/>
      <c r="H3034" s="3"/>
      <c r="I3034" s="3"/>
      <c r="J3034" s="3"/>
      <c r="K3034" s="3"/>
      <c r="L3034" s="3"/>
      <c r="M3034" s="3"/>
      <c r="N3034" s="3"/>
    </row>
    <row r="3035" spans="1:14" ht="16.5" customHeight="1">
      <c r="A3035" s="3"/>
      <c r="B3035" s="3"/>
      <c r="C3035" s="3"/>
      <c r="D3035" s="3"/>
      <c r="E3035" s="3"/>
      <c r="F3035" s="3"/>
      <c r="G3035" s="3"/>
      <c r="H3035" s="3"/>
      <c r="I3035" s="3"/>
      <c r="J3035" s="3"/>
      <c r="K3035" s="3"/>
      <c r="L3035" s="3"/>
      <c r="M3035" s="3"/>
      <c r="N3035" s="3"/>
    </row>
    <row r="3036" spans="1:14" ht="16.5" customHeight="1">
      <c r="A3036" s="3"/>
      <c r="B3036" s="3"/>
      <c r="C3036" s="3"/>
      <c r="D3036" s="3"/>
      <c r="E3036" s="3"/>
      <c r="F3036" s="3"/>
      <c r="G3036" s="3"/>
      <c r="H3036" s="3"/>
      <c r="I3036" s="3"/>
      <c r="J3036" s="3"/>
      <c r="K3036" s="3"/>
      <c r="L3036" s="3"/>
      <c r="M3036" s="3"/>
      <c r="N3036" s="3"/>
    </row>
    <row r="3037" spans="1:14" ht="16.5" customHeight="1">
      <c r="A3037" s="3"/>
      <c r="B3037" s="3"/>
      <c r="C3037" s="3"/>
      <c r="D3037" s="3"/>
      <c r="E3037" s="3"/>
      <c r="F3037" s="3"/>
      <c r="G3037" s="3"/>
      <c r="H3037" s="3"/>
      <c r="I3037" s="3"/>
      <c r="J3037" s="3"/>
      <c r="K3037" s="3"/>
      <c r="L3037" s="3"/>
      <c r="M3037" s="3"/>
      <c r="N3037" s="3"/>
    </row>
    <row r="3038" spans="1:14" ht="16.5" customHeight="1">
      <c r="A3038" s="3"/>
      <c r="B3038" s="3"/>
      <c r="C3038" s="3"/>
      <c r="D3038" s="3"/>
      <c r="E3038" s="3"/>
      <c r="F3038" s="3"/>
      <c r="G3038" s="3"/>
      <c r="H3038" s="3"/>
      <c r="I3038" s="3"/>
      <c r="J3038" s="3"/>
      <c r="K3038" s="3"/>
      <c r="L3038" s="3"/>
      <c r="M3038" s="3"/>
      <c r="N3038" s="3"/>
    </row>
    <row r="3039" spans="1:14" ht="16.5" customHeight="1">
      <c r="A3039" s="3"/>
      <c r="B3039" s="3"/>
      <c r="C3039" s="3"/>
      <c r="D3039" s="3"/>
      <c r="E3039" s="3"/>
      <c r="F3039" s="3"/>
      <c r="G3039" s="3"/>
      <c r="H3039" s="3"/>
      <c r="I3039" s="3"/>
      <c r="J3039" s="3"/>
      <c r="K3039" s="3"/>
      <c r="L3039" s="3"/>
      <c r="M3039" s="3"/>
      <c r="N3039" s="3"/>
    </row>
    <row r="3040" spans="1:14" ht="16.5" customHeight="1">
      <c r="A3040" s="3"/>
      <c r="B3040" s="3"/>
      <c r="C3040" s="3"/>
      <c r="D3040" s="3"/>
      <c r="E3040" s="3"/>
      <c r="F3040" s="3"/>
      <c r="G3040" s="3"/>
      <c r="H3040" s="3"/>
      <c r="I3040" s="3"/>
      <c r="J3040" s="3"/>
      <c r="K3040" s="3"/>
      <c r="L3040" s="3"/>
      <c r="M3040" s="3"/>
      <c r="N3040" s="3"/>
    </row>
    <row r="3041" spans="1:14" ht="16.5" customHeight="1">
      <c r="A3041" s="3"/>
      <c r="B3041" s="3"/>
      <c r="C3041" s="3"/>
      <c r="D3041" s="3"/>
      <c r="E3041" s="3"/>
      <c r="F3041" s="3"/>
      <c r="G3041" s="3"/>
      <c r="H3041" s="3"/>
      <c r="I3041" s="3"/>
      <c r="J3041" s="3"/>
      <c r="K3041" s="3"/>
      <c r="L3041" s="3"/>
      <c r="M3041" s="3"/>
      <c r="N3041" s="3"/>
    </row>
    <row r="3042" spans="1:14" ht="16.5" customHeight="1">
      <c r="A3042" s="3"/>
      <c r="B3042" s="3"/>
      <c r="C3042" s="3"/>
      <c r="D3042" s="3"/>
      <c r="E3042" s="3"/>
      <c r="F3042" s="3"/>
      <c r="G3042" s="3"/>
      <c r="H3042" s="3"/>
      <c r="I3042" s="3"/>
      <c r="J3042" s="3"/>
      <c r="K3042" s="3"/>
      <c r="L3042" s="3"/>
      <c r="M3042" s="3"/>
      <c r="N3042" s="3"/>
    </row>
    <row r="3043" spans="1:14" ht="16.5" customHeight="1">
      <c r="A3043" s="3"/>
      <c r="B3043" s="3"/>
      <c r="C3043" s="3"/>
      <c r="D3043" s="3"/>
      <c r="E3043" s="3"/>
      <c r="F3043" s="3"/>
      <c r="G3043" s="3"/>
      <c r="H3043" s="3"/>
      <c r="I3043" s="3"/>
      <c r="J3043" s="3"/>
      <c r="K3043" s="3"/>
      <c r="L3043" s="3"/>
      <c r="M3043" s="3"/>
      <c r="N3043" s="3"/>
    </row>
    <row r="3044" spans="1:14" ht="16.5" customHeight="1">
      <c r="A3044" s="3"/>
      <c r="B3044" s="3"/>
      <c r="C3044" s="3"/>
      <c r="D3044" s="3"/>
      <c r="E3044" s="3"/>
      <c r="F3044" s="3"/>
      <c r="G3044" s="3"/>
      <c r="H3044" s="3"/>
      <c r="I3044" s="3"/>
      <c r="J3044" s="3"/>
      <c r="K3044" s="3"/>
      <c r="L3044" s="3"/>
      <c r="M3044" s="3"/>
      <c r="N3044" s="3"/>
    </row>
    <row r="3045" spans="1:14" ht="16.5" customHeight="1">
      <c r="A3045" s="3"/>
      <c r="B3045" s="3"/>
      <c r="C3045" s="3"/>
      <c r="D3045" s="3"/>
      <c r="E3045" s="3"/>
      <c r="F3045" s="3"/>
      <c r="G3045" s="3"/>
      <c r="H3045" s="3"/>
      <c r="I3045" s="3"/>
      <c r="J3045" s="3"/>
      <c r="K3045" s="3"/>
      <c r="L3045" s="3"/>
      <c r="M3045" s="3"/>
      <c r="N3045" s="3"/>
    </row>
    <row r="3046" spans="1:14" ht="16.5" customHeight="1">
      <c r="A3046" s="3"/>
      <c r="B3046" s="3"/>
      <c r="C3046" s="3"/>
      <c r="D3046" s="3"/>
      <c r="E3046" s="3"/>
      <c r="F3046" s="3"/>
      <c r="G3046" s="3"/>
      <c r="H3046" s="3"/>
      <c r="I3046" s="3"/>
      <c r="J3046" s="3"/>
      <c r="K3046" s="3"/>
      <c r="L3046" s="3"/>
      <c r="M3046" s="3"/>
      <c r="N3046" s="3"/>
    </row>
    <row r="3047" spans="1:14" ht="16.5" customHeight="1">
      <c r="A3047" s="3"/>
      <c r="B3047" s="3"/>
      <c r="C3047" s="3"/>
      <c r="D3047" s="3"/>
      <c r="E3047" s="3"/>
      <c r="F3047" s="3"/>
      <c r="G3047" s="3"/>
      <c r="H3047" s="3"/>
      <c r="I3047" s="3"/>
      <c r="J3047" s="3"/>
      <c r="K3047" s="3"/>
      <c r="L3047" s="3"/>
      <c r="M3047" s="3"/>
      <c r="N3047" s="3"/>
    </row>
    <row r="3048" spans="1:14" ht="16.5" customHeight="1">
      <c r="A3048" s="3"/>
      <c r="B3048" s="3"/>
      <c r="C3048" s="3"/>
      <c r="D3048" s="3"/>
      <c r="E3048" s="3"/>
      <c r="F3048" s="3"/>
      <c r="G3048" s="3"/>
      <c r="H3048" s="3"/>
      <c r="I3048" s="3"/>
      <c r="J3048" s="3"/>
      <c r="K3048" s="3"/>
      <c r="L3048" s="3"/>
      <c r="M3048" s="3"/>
      <c r="N3048" s="3"/>
    </row>
    <row r="3049" spans="1:14" ht="16.5" customHeight="1">
      <c r="A3049" s="3"/>
      <c r="B3049" s="3"/>
      <c r="C3049" s="3"/>
      <c r="D3049" s="3"/>
      <c r="E3049" s="3"/>
      <c r="F3049" s="3"/>
      <c r="G3049" s="3"/>
      <c r="H3049" s="3"/>
      <c r="I3049" s="3"/>
      <c r="J3049" s="3"/>
      <c r="K3049" s="3"/>
      <c r="L3049" s="3"/>
      <c r="M3049" s="3"/>
      <c r="N3049" s="3"/>
    </row>
    <row r="3050" spans="1:14" ht="16.5" customHeight="1">
      <c r="A3050" s="3"/>
      <c r="B3050" s="3"/>
      <c r="C3050" s="3"/>
      <c r="D3050" s="3"/>
      <c r="E3050" s="3"/>
      <c r="F3050" s="3"/>
      <c r="G3050" s="3"/>
      <c r="H3050" s="3"/>
      <c r="I3050" s="3"/>
      <c r="J3050" s="3"/>
      <c r="K3050" s="3"/>
      <c r="L3050" s="3"/>
      <c r="M3050" s="3"/>
      <c r="N3050" s="3"/>
    </row>
    <row r="3051" spans="1:14" ht="16.5" customHeight="1">
      <c r="A3051" s="3"/>
      <c r="B3051" s="3"/>
      <c r="C3051" s="3"/>
      <c r="D3051" s="3"/>
      <c r="E3051" s="3"/>
      <c r="F3051" s="3"/>
      <c r="G3051" s="3"/>
      <c r="H3051" s="3"/>
      <c r="I3051" s="3"/>
      <c r="J3051" s="3"/>
      <c r="K3051" s="3"/>
      <c r="L3051" s="3"/>
      <c r="M3051" s="3"/>
      <c r="N3051" s="3"/>
    </row>
    <row r="3052" spans="1:14" ht="16.5" customHeight="1">
      <c r="A3052" s="3"/>
      <c r="B3052" s="3"/>
      <c r="C3052" s="3"/>
      <c r="D3052" s="3"/>
      <c r="E3052" s="3"/>
      <c r="F3052" s="3"/>
      <c r="G3052" s="3"/>
      <c r="H3052" s="3"/>
      <c r="I3052" s="3"/>
      <c r="J3052" s="3"/>
      <c r="K3052" s="3"/>
      <c r="L3052" s="3"/>
      <c r="M3052" s="3"/>
      <c r="N3052" s="3"/>
    </row>
    <row r="3053" spans="1:14" ht="16.5" customHeight="1">
      <c r="A3053" s="3"/>
      <c r="B3053" s="3"/>
      <c r="C3053" s="3"/>
      <c r="D3053" s="3"/>
      <c r="E3053" s="3"/>
      <c r="F3053" s="3"/>
      <c r="G3053" s="3"/>
      <c r="H3053" s="3"/>
      <c r="I3053" s="3"/>
      <c r="J3053" s="3"/>
      <c r="K3053" s="3"/>
      <c r="L3053" s="3"/>
      <c r="M3053" s="3"/>
      <c r="N3053" s="3"/>
    </row>
    <row r="3054" spans="1:14" ht="16.5" customHeight="1">
      <c r="A3054" s="3"/>
      <c r="B3054" s="3"/>
      <c r="C3054" s="3"/>
      <c r="D3054" s="3"/>
      <c r="E3054" s="3"/>
      <c r="F3054" s="3"/>
      <c r="G3054" s="3"/>
      <c r="H3054" s="3"/>
      <c r="I3054" s="3"/>
      <c r="J3054" s="3"/>
      <c r="K3054" s="3"/>
      <c r="L3054" s="3"/>
      <c r="M3054" s="3"/>
      <c r="N3054" s="3"/>
    </row>
    <row r="3055" spans="1:14" ht="16.5" customHeight="1">
      <c r="A3055" s="3"/>
      <c r="B3055" s="3"/>
      <c r="C3055" s="3"/>
      <c r="D3055" s="3"/>
      <c r="E3055" s="3"/>
      <c r="F3055" s="3"/>
      <c r="G3055" s="3"/>
      <c r="H3055" s="3"/>
      <c r="I3055" s="3"/>
      <c r="J3055" s="3"/>
      <c r="K3055" s="3"/>
      <c r="L3055" s="3"/>
      <c r="M3055" s="3"/>
      <c r="N3055" s="3"/>
    </row>
    <row r="3056" spans="1:14" ht="16.5" customHeight="1">
      <c r="A3056" s="3"/>
      <c r="B3056" s="3"/>
      <c r="C3056" s="3"/>
      <c r="D3056" s="3"/>
      <c r="E3056" s="3"/>
      <c r="F3056" s="3"/>
      <c r="G3056" s="3"/>
      <c r="H3056" s="3"/>
      <c r="I3056" s="3"/>
      <c r="J3056" s="3"/>
      <c r="K3056" s="3"/>
      <c r="L3056" s="3"/>
      <c r="M3056" s="3"/>
      <c r="N3056" s="3"/>
    </row>
    <row r="3057" spans="1:14" ht="16.5" customHeight="1">
      <c r="A3057" s="3"/>
      <c r="B3057" s="3"/>
      <c r="C3057" s="3"/>
      <c r="D3057" s="3"/>
      <c r="E3057" s="3"/>
      <c r="F3057" s="3"/>
      <c r="G3057" s="3"/>
      <c r="H3057" s="3"/>
      <c r="I3057" s="3"/>
      <c r="J3057" s="3"/>
      <c r="K3057" s="3"/>
      <c r="L3057" s="3"/>
      <c r="M3057" s="3"/>
      <c r="N3057" s="3"/>
    </row>
    <row r="3058" spans="1:14" ht="16.5" customHeight="1">
      <c r="A3058" s="3"/>
      <c r="B3058" s="3"/>
      <c r="C3058" s="3"/>
      <c r="D3058" s="3"/>
      <c r="E3058" s="3"/>
      <c r="F3058" s="3"/>
      <c r="G3058" s="3"/>
      <c r="H3058" s="3"/>
      <c r="I3058" s="3"/>
      <c r="J3058" s="3"/>
      <c r="K3058" s="3"/>
      <c r="L3058" s="3"/>
      <c r="M3058" s="3"/>
      <c r="N3058" s="3"/>
    </row>
    <row r="3059" spans="1:14" ht="16.5" customHeight="1">
      <c r="A3059" s="3"/>
      <c r="B3059" s="3"/>
      <c r="C3059" s="3"/>
      <c r="D3059" s="3"/>
      <c r="E3059" s="3"/>
      <c r="F3059" s="3"/>
      <c r="G3059" s="3"/>
      <c r="H3059" s="3"/>
      <c r="I3059" s="3"/>
      <c r="J3059" s="3"/>
      <c r="K3059" s="3"/>
      <c r="L3059" s="3"/>
      <c r="M3059" s="3"/>
      <c r="N3059" s="3"/>
    </row>
    <row r="3060" spans="1:14" ht="16.5" customHeight="1">
      <c r="A3060" s="3"/>
      <c r="B3060" s="3"/>
      <c r="C3060" s="3"/>
      <c r="D3060" s="3"/>
      <c r="E3060" s="3"/>
      <c r="F3060" s="3"/>
      <c r="G3060" s="3"/>
      <c r="H3060" s="3"/>
      <c r="I3060" s="3"/>
      <c r="J3060" s="3"/>
      <c r="K3060" s="3"/>
      <c r="L3060" s="3"/>
      <c r="M3060" s="3"/>
      <c r="N3060" s="3"/>
    </row>
    <row r="3061" spans="1:14" ht="16.5" customHeight="1">
      <c r="A3061" s="3"/>
      <c r="B3061" s="3"/>
      <c r="C3061" s="3"/>
      <c r="D3061" s="3"/>
      <c r="E3061" s="3"/>
      <c r="F3061" s="3"/>
      <c r="G3061" s="3"/>
      <c r="H3061" s="3"/>
      <c r="I3061" s="3"/>
      <c r="J3061" s="3"/>
      <c r="K3061" s="3"/>
      <c r="L3061" s="3"/>
      <c r="M3061" s="3"/>
      <c r="N3061" s="3"/>
    </row>
    <row r="3062" spans="1:14" ht="16.5" customHeight="1">
      <c r="A3062" s="3"/>
      <c r="B3062" s="3"/>
      <c r="C3062" s="3"/>
      <c r="D3062" s="3"/>
      <c r="E3062" s="3"/>
      <c r="F3062" s="3"/>
      <c r="G3062" s="3"/>
      <c r="H3062" s="3"/>
      <c r="I3062" s="3"/>
      <c r="J3062" s="3"/>
      <c r="K3062" s="3"/>
      <c r="L3062" s="3"/>
      <c r="M3062" s="3"/>
      <c r="N3062" s="3"/>
    </row>
    <row r="3063" spans="1:14" ht="16.5" customHeight="1">
      <c r="A3063" s="3"/>
      <c r="B3063" s="3"/>
      <c r="C3063" s="3"/>
      <c r="D3063" s="3"/>
      <c r="E3063" s="3"/>
      <c r="F3063" s="3"/>
      <c r="G3063" s="3"/>
      <c r="H3063" s="3"/>
      <c r="I3063" s="3"/>
      <c r="J3063" s="3"/>
      <c r="K3063" s="3"/>
      <c r="L3063" s="3"/>
      <c r="M3063" s="3"/>
      <c r="N3063" s="3"/>
    </row>
    <row r="3064" spans="1:14" ht="16.5" customHeight="1">
      <c r="A3064" s="3"/>
      <c r="B3064" s="3"/>
      <c r="C3064" s="3"/>
      <c r="D3064" s="3"/>
      <c r="E3064" s="3"/>
      <c r="F3064" s="3"/>
      <c r="G3064" s="3"/>
      <c r="H3064" s="3"/>
      <c r="I3064" s="3"/>
      <c r="J3064" s="3"/>
      <c r="K3064" s="3"/>
      <c r="L3064" s="3"/>
      <c r="M3064" s="3"/>
      <c r="N3064" s="3"/>
    </row>
    <row r="3065" spans="1:14" ht="16.5" customHeight="1">
      <c r="A3065" s="3"/>
      <c r="B3065" s="3"/>
      <c r="C3065" s="3"/>
      <c r="D3065" s="3"/>
      <c r="E3065" s="3"/>
      <c r="F3065" s="3"/>
      <c r="G3065" s="3"/>
      <c r="H3065" s="3"/>
      <c r="I3065" s="3"/>
      <c r="J3065" s="3"/>
      <c r="K3065" s="3"/>
      <c r="L3065" s="3"/>
      <c r="M3065" s="3"/>
      <c r="N3065" s="3"/>
    </row>
    <row r="3066" spans="1:14" ht="16.5" customHeight="1">
      <c r="A3066" s="3"/>
      <c r="B3066" s="3"/>
      <c r="C3066" s="3"/>
      <c r="D3066" s="3"/>
      <c r="E3066" s="3"/>
      <c r="F3066" s="3"/>
      <c r="G3066" s="3"/>
      <c r="H3066" s="3"/>
      <c r="I3066" s="3"/>
      <c r="J3066" s="3"/>
      <c r="K3066" s="3"/>
      <c r="L3066" s="3"/>
      <c r="M3066" s="3"/>
      <c r="N3066" s="3"/>
    </row>
    <row r="3067" spans="1:14" ht="16.5" customHeight="1">
      <c r="A3067" s="3"/>
      <c r="B3067" s="3"/>
      <c r="C3067" s="3"/>
      <c r="D3067" s="3"/>
      <c r="E3067" s="3"/>
      <c r="F3067" s="3"/>
      <c r="G3067" s="3"/>
      <c r="H3067" s="3"/>
      <c r="I3067" s="3"/>
      <c r="J3067" s="3"/>
      <c r="K3067" s="3"/>
      <c r="L3067" s="3"/>
      <c r="M3067" s="3"/>
      <c r="N3067" s="3"/>
    </row>
    <row r="3068" spans="1:14" ht="16.5" customHeight="1">
      <c r="A3068" s="3"/>
      <c r="B3068" s="3"/>
      <c r="C3068" s="3"/>
      <c r="D3068" s="3"/>
      <c r="E3068" s="3"/>
      <c r="F3068" s="3"/>
      <c r="G3068" s="3"/>
      <c r="H3068" s="3"/>
      <c r="I3068" s="3"/>
      <c r="J3068" s="3"/>
      <c r="K3068" s="3"/>
      <c r="L3068" s="3"/>
      <c r="M3068" s="3"/>
      <c r="N3068" s="3"/>
    </row>
    <row r="3069" spans="1:14" ht="16.5" customHeight="1">
      <c r="A3069" s="3"/>
      <c r="B3069" s="3"/>
      <c r="C3069" s="3"/>
      <c r="D3069" s="3"/>
      <c r="E3069" s="3"/>
      <c r="F3069" s="3"/>
      <c r="G3069" s="3"/>
      <c r="H3069" s="3"/>
      <c r="I3069" s="3"/>
      <c r="J3069" s="3"/>
      <c r="K3069" s="3"/>
      <c r="L3069" s="3"/>
      <c r="M3069" s="3"/>
      <c r="N3069" s="3"/>
    </row>
    <row r="3070" spans="1:14" ht="16.5" customHeight="1">
      <c r="A3070" s="3"/>
      <c r="B3070" s="3"/>
      <c r="C3070" s="3"/>
      <c r="D3070" s="3"/>
      <c r="E3070" s="3"/>
      <c r="F3070" s="3"/>
      <c r="G3070" s="3"/>
      <c r="H3070" s="3"/>
      <c r="I3070" s="3"/>
      <c r="J3070" s="3"/>
      <c r="K3070" s="3"/>
      <c r="L3070" s="3"/>
      <c r="M3070" s="3"/>
      <c r="N3070" s="3"/>
    </row>
    <row r="3071" spans="1:14" ht="16.5" customHeight="1">
      <c r="A3071" s="3"/>
      <c r="B3071" s="3"/>
      <c r="C3071" s="3"/>
      <c r="D3071" s="3"/>
      <c r="E3071" s="3"/>
      <c r="F3071" s="3"/>
      <c r="G3071" s="3"/>
      <c r="H3071" s="3"/>
      <c r="I3071" s="3"/>
      <c r="J3071" s="3"/>
      <c r="K3071" s="3"/>
      <c r="L3071" s="3"/>
      <c r="M3071" s="3"/>
      <c r="N3071" s="3"/>
    </row>
    <row r="3072" spans="1:14" ht="16.5" customHeight="1">
      <c r="A3072" s="3"/>
      <c r="B3072" s="3"/>
      <c r="C3072" s="3"/>
      <c r="D3072" s="3"/>
      <c r="E3072" s="3"/>
      <c r="F3072" s="3"/>
      <c r="G3072" s="3"/>
      <c r="H3072" s="3"/>
      <c r="I3072" s="3"/>
      <c r="J3072" s="3"/>
      <c r="K3072" s="3"/>
      <c r="L3072" s="3"/>
      <c r="M3072" s="3"/>
      <c r="N3072" s="3"/>
    </row>
    <row r="3073" spans="1:14" ht="16.5" customHeight="1">
      <c r="A3073" s="3"/>
      <c r="B3073" s="3"/>
      <c r="C3073" s="3"/>
      <c r="D3073" s="3"/>
      <c r="E3073" s="3"/>
      <c r="F3073" s="3"/>
      <c r="G3073" s="3"/>
      <c r="H3073" s="3"/>
      <c r="I3073" s="3"/>
      <c r="J3073" s="3"/>
      <c r="K3073" s="3"/>
      <c r="L3073" s="3"/>
      <c r="M3073" s="3"/>
      <c r="N3073" s="3"/>
    </row>
    <row r="3074" spans="1:14" ht="16.5" customHeight="1">
      <c r="A3074" s="3"/>
      <c r="B3074" s="3"/>
      <c r="C3074" s="3"/>
      <c r="D3074" s="3"/>
      <c r="E3074" s="3"/>
      <c r="F3074" s="3"/>
      <c r="G3074" s="3"/>
      <c r="H3074" s="3"/>
      <c r="I3074" s="3"/>
      <c r="J3074" s="3"/>
      <c r="K3074" s="3"/>
      <c r="L3074" s="3"/>
      <c r="M3074" s="3"/>
      <c r="N3074" s="3"/>
    </row>
    <row r="3075" spans="1:14" ht="16.5" customHeight="1">
      <c r="A3075" s="3"/>
      <c r="B3075" s="3"/>
      <c r="C3075" s="3"/>
      <c r="D3075" s="3"/>
      <c r="E3075" s="3"/>
      <c r="F3075" s="3"/>
      <c r="G3075" s="3"/>
      <c r="H3075" s="3"/>
      <c r="I3075" s="3"/>
      <c r="J3075" s="3"/>
      <c r="K3075" s="3"/>
      <c r="L3075" s="3"/>
      <c r="M3075" s="3"/>
      <c r="N3075" s="3"/>
    </row>
    <row r="3076" spans="1:14" ht="16.5" customHeight="1">
      <c r="A3076" s="3"/>
      <c r="B3076" s="3"/>
      <c r="C3076" s="3"/>
      <c r="D3076" s="3"/>
      <c r="E3076" s="3"/>
      <c r="F3076" s="3"/>
      <c r="G3076" s="3"/>
      <c r="H3076" s="3"/>
      <c r="I3076" s="3"/>
      <c r="J3076" s="3"/>
      <c r="K3076" s="3"/>
      <c r="L3076" s="3"/>
      <c r="M3076" s="3"/>
      <c r="N3076" s="3"/>
    </row>
    <row r="3077" spans="1:14" ht="16.5" customHeight="1">
      <c r="A3077" s="3"/>
      <c r="B3077" s="3"/>
      <c r="C3077" s="3"/>
      <c r="D3077" s="3"/>
      <c r="E3077" s="3"/>
      <c r="F3077" s="3"/>
      <c r="G3077" s="3"/>
      <c r="H3077" s="3"/>
      <c r="I3077" s="3"/>
      <c r="J3077" s="3"/>
      <c r="K3077" s="3"/>
      <c r="L3077" s="3"/>
      <c r="M3077" s="3"/>
      <c r="N3077" s="3"/>
    </row>
    <row r="3078" spans="1:14" ht="16.5" customHeight="1">
      <c r="A3078" s="3"/>
      <c r="B3078" s="3"/>
      <c r="C3078" s="3"/>
      <c r="D3078" s="3"/>
      <c r="E3078" s="3"/>
      <c r="F3078" s="3"/>
      <c r="G3078" s="3"/>
      <c r="H3078" s="3"/>
      <c r="I3078" s="3"/>
      <c r="J3078" s="3"/>
      <c r="K3078" s="3"/>
      <c r="L3078" s="3"/>
      <c r="M3078" s="3"/>
      <c r="N3078" s="3"/>
    </row>
    <row r="3079" spans="1:14" ht="16.5" customHeight="1">
      <c r="A3079" s="3"/>
      <c r="B3079" s="3"/>
      <c r="C3079" s="3"/>
      <c r="D3079" s="3"/>
      <c r="E3079" s="3"/>
      <c r="F3079" s="3"/>
      <c r="G3079" s="3"/>
      <c r="H3079" s="3"/>
      <c r="I3079" s="3"/>
      <c r="J3079" s="3"/>
      <c r="K3079" s="3"/>
      <c r="L3079" s="3"/>
      <c r="M3079" s="3"/>
      <c r="N3079" s="3"/>
    </row>
    <row r="3080" spans="1:14" ht="16.5" customHeight="1">
      <c r="A3080" s="3"/>
      <c r="B3080" s="3"/>
      <c r="C3080" s="3"/>
      <c r="D3080" s="3"/>
      <c r="E3080" s="3"/>
      <c r="F3080" s="3"/>
      <c r="G3080" s="3"/>
      <c r="H3080" s="3"/>
      <c r="I3080" s="3"/>
      <c r="J3080" s="3"/>
      <c r="K3080" s="3"/>
      <c r="L3080" s="3"/>
      <c r="M3080" s="3"/>
      <c r="N3080" s="3"/>
    </row>
    <row r="3081" spans="1:14" ht="16.5" customHeight="1">
      <c r="A3081" s="3"/>
      <c r="B3081" s="3"/>
      <c r="C3081" s="3"/>
      <c r="D3081" s="3"/>
      <c r="E3081" s="3"/>
      <c r="F3081" s="3"/>
      <c r="G3081" s="3"/>
      <c r="H3081" s="3"/>
      <c r="I3081" s="3"/>
      <c r="J3081" s="3"/>
      <c r="K3081" s="3"/>
      <c r="L3081" s="3"/>
      <c r="M3081" s="3"/>
      <c r="N3081" s="3"/>
    </row>
    <row r="3082" spans="1:14" ht="16.5" customHeight="1">
      <c r="A3082" s="3"/>
      <c r="B3082" s="3"/>
      <c r="C3082" s="3"/>
      <c r="D3082" s="3"/>
      <c r="E3082" s="3"/>
      <c r="F3082" s="3"/>
      <c r="G3082" s="3"/>
      <c r="H3082" s="3"/>
      <c r="I3082" s="3"/>
      <c r="J3082" s="3"/>
      <c r="K3082" s="3"/>
      <c r="L3082" s="3"/>
      <c r="M3082" s="3"/>
      <c r="N3082" s="3"/>
    </row>
    <row r="3083" spans="1:14" ht="16.5" customHeight="1">
      <c r="A3083" s="3"/>
      <c r="B3083" s="3"/>
      <c r="C3083" s="3"/>
      <c r="D3083" s="3"/>
      <c r="E3083" s="3"/>
      <c r="F3083" s="3"/>
      <c r="G3083" s="3"/>
      <c r="H3083" s="3"/>
      <c r="I3083" s="3"/>
      <c r="J3083" s="3"/>
      <c r="K3083" s="3"/>
      <c r="L3083" s="3"/>
      <c r="M3083" s="3"/>
      <c r="N3083" s="3"/>
    </row>
    <row r="3084" spans="1:14" ht="16.5" customHeight="1">
      <c r="A3084" s="3"/>
      <c r="B3084" s="3"/>
      <c r="C3084" s="3"/>
      <c r="D3084" s="3"/>
      <c r="E3084" s="3"/>
      <c r="F3084" s="3"/>
      <c r="G3084" s="3"/>
      <c r="H3084" s="3"/>
      <c r="I3084" s="3"/>
      <c r="J3084" s="3"/>
      <c r="K3084" s="3"/>
      <c r="L3084" s="3"/>
      <c r="M3084" s="3"/>
      <c r="N3084" s="3"/>
    </row>
    <row r="3085" spans="1:14" ht="16.5" customHeight="1">
      <c r="A3085" s="3"/>
      <c r="B3085" s="3"/>
      <c r="C3085" s="3"/>
      <c r="D3085" s="3"/>
      <c r="E3085" s="3"/>
      <c r="F3085" s="3"/>
      <c r="G3085" s="3"/>
      <c r="H3085" s="3"/>
      <c r="I3085" s="3"/>
      <c r="J3085" s="3"/>
      <c r="K3085" s="3"/>
      <c r="L3085" s="3"/>
      <c r="M3085" s="3"/>
      <c r="N3085" s="3"/>
    </row>
    <row r="3086" spans="1:14" ht="16.5" customHeight="1">
      <c r="A3086" s="3"/>
      <c r="B3086" s="3"/>
      <c r="C3086" s="3"/>
      <c r="D3086" s="3"/>
      <c r="E3086" s="3"/>
      <c r="F3086" s="3"/>
      <c r="G3086" s="3"/>
      <c r="H3086" s="3"/>
      <c r="I3086" s="3"/>
      <c r="J3086" s="3"/>
      <c r="K3086" s="3"/>
      <c r="L3086" s="3"/>
      <c r="M3086" s="3"/>
      <c r="N3086" s="3"/>
    </row>
    <row r="3087" spans="1:14" ht="16.5" customHeight="1">
      <c r="A3087" s="3"/>
      <c r="B3087" s="3"/>
      <c r="C3087" s="3"/>
      <c r="D3087" s="3"/>
      <c r="E3087" s="3"/>
      <c r="F3087" s="3"/>
      <c r="G3087" s="3"/>
      <c r="H3087" s="3"/>
      <c r="I3087" s="3"/>
      <c r="J3087" s="3"/>
      <c r="K3087" s="3"/>
      <c r="L3087" s="3"/>
      <c r="M3087" s="3"/>
      <c r="N3087" s="3"/>
    </row>
    <row r="3088" spans="1:14" ht="16.5" customHeight="1">
      <c r="A3088" s="3"/>
      <c r="B3088" s="3"/>
      <c r="C3088" s="3"/>
      <c r="D3088" s="3"/>
      <c r="E3088" s="3"/>
      <c r="F3088" s="3"/>
      <c r="G3088" s="3"/>
      <c r="H3088" s="3"/>
      <c r="I3088" s="3"/>
      <c r="J3088" s="3"/>
      <c r="K3088" s="3"/>
      <c r="L3088" s="3"/>
      <c r="M3088" s="3"/>
      <c r="N3088" s="3"/>
    </row>
    <row r="3089" spans="1:14" ht="16.5" customHeight="1">
      <c r="A3089" s="3"/>
      <c r="B3089" s="3"/>
      <c r="C3089" s="3"/>
      <c r="D3089" s="3"/>
      <c r="E3089" s="3"/>
      <c r="F3089" s="3"/>
      <c r="G3089" s="3"/>
      <c r="H3089" s="3"/>
      <c r="I3089" s="3"/>
      <c r="J3089" s="3"/>
      <c r="K3089" s="3"/>
      <c r="L3089" s="3"/>
      <c r="M3089" s="3"/>
      <c r="N3089" s="3"/>
    </row>
    <row r="3090" spans="1:14" ht="16.5" customHeight="1">
      <c r="A3090" s="3"/>
      <c r="B3090" s="3"/>
      <c r="C3090" s="3"/>
      <c r="D3090" s="3"/>
      <c r="E3090" s="3"/>
      <c r="F3090" s="3"/>
      <c r="G3090" s="3"/>
      <c r="H3090" s="3"/>
      <c r="I3090" s="3"/>
      <c r="J3090" s="3"/>
      <c r="K3090" s="3"/>
      <c r="L3090" s="3"/>
      <c r="M3090" s="3"/>
      <c r="N3090" s="3"/>
    </row>
    <row r="3091" spans="1:14" ht="16.5" customHeight="1">
      <c r="A3091" s="3"/>
      <c r="B3091" s="3"/>
      <c r="C3091" s="3"/>
      <c r="D3091" s="3"/>
      <c r="E3091" s="3"/>
      <c r="F3091" s="3"/>
      <c r="G3091" s="3"/>
      <c r="H3091" s="3"/>
      <c r="I3091" s="3"/>
      <c r="J3091" s="3"/>
      <c r="K3091" s="3"/>
      <c r="L3091" s="3"/>
      <c r="M3091" s="3"/>
      <c r="N3091" s="3"/>
    </row>
    <row r="3092" spans="1:14" ht="16.5" customHeight="1">
      <c r="A3092" s="3"/>
      <c r="B3092" s="3"/>
      <c r="C3092" s="3"/>
      <c r="D3092" s="3"/>
      <c r="E3092" s="3"/>
      <c r="F3092" s="3"/>
      <c r="G3092" s="3"/>
      <c r="H3092" s="3"/>
      <c r="I3092" s="3"/>
      <c r="J3092" s="3"/>
      <c r="K3092" s="3"/>
      <c r="L3092" s="3"/>
      <c r="M3092" s="3"/>
      <c r="N3092" s="3"/>
    </row>
    <row r="3093" spans="1:14" ht="16.5" customHeight="1">
      <c r="A3093" s="3"/>
      <c r="B3093" s="3"/>
      <c r="C3093" s="3"/>
      <c r="D3093" s="3"/>
      <c r="E3093" s="3"/>
      <c r="F3093" s="3"/>
      <c r="G3093" s="3"/>
      <c r="H3093" s="3"/>
      <c r="I3093" s="3"/>
      <c r="J3093" s="3"/>
      <c r="K3093" s="3"/>
      <c r="L3093" s="3"/>
      <c r="M3093" s="3"/>
      <c r="N3093" s="3"/>
    </row>
    <row r="3094" spans="1:14" ht="16.5" customHeight="1">
      <c r="A3094" s="3"/>
      <c r="B3094" s="3"/>
      <c r="C3094" s="3"/>
      <c r="D3094" s="3"/>
      <c r="E3094" s="3"/>
      <c r="F3094" s="3"/>
      <c r="G3094" s="3"/>
      <c r="H3094" s="3"/>
      <c r="I3094" s="3"/>
      <c r="J3094" s="3"/>
      <c r="K3094" s="3"/>
      <c r="L3094" s="3"/>
      <c r="M3094" s="3"/>
      <c r="N3094" s="3"/>
    </row>
    <row r="3095" spans="1:14" ht="16.5" customHeight="1">
      <c r="A3095" s="3"/>
      <c r="B3095" s="3"/>
      <c r="C3095" s="3"/>
      <c r="D3095" s="3"/>
      <c r="E3095" s="3"/>
      <c r="F3095" s="3"/>
      <c r="G3095" s="3"/>
      <c r="H3095" s="3"/>
      <c r="I3095" s="3"/>
      <c r="J3095" s="3"/>
      <c r="K3095" s="3"/>
      <c r="L3095" s="3"/>
      <c r="M3095" s="3"/>
      <c r="N3095" s="3"/>
    </row>
    <row r="3096" spans="1:14" ht="16.5" customHeight="1">
      <c r="A3096" s="3"/>
      <c r="B3096" s="3"/>
      <c r="C3096" s="3"/>
      <c r="D3096" s="3"/>
      <c r="E3096" s="3"/>
      <c r="F3096" s="3"/>
      <c r="G3096" s="3"/>
      <c r="H3096" s="3"/>
      <c r="I3096" s="3"/>
      <c r="J3096" s="3"/>
      <c r="K3096" s="3"/>
      <c r="L3096" s="3"/>
      <c r="M3096" s="3"/>
      <c r="N3096" s="3"/>
    </row>
    <row r="3097" spans="1:14" ht="16.5" customHeight="1">
      <c r="A3097" s="3"/>
      <c r="B3097" s="3"/>
      <c r="C3097" s="3"/>
      <c r="D3097" s="3"/>
      <c r="E3097" s="3"/>
      <c r="F3097" s="3"/>
      <c r="G3097" s="3"/>
      <c r="H3097" s="3"/>
      <c r="I3097" s="3"/>
      <c r="J3097" s="3"/>
      <c r="K3097" s="3"/>
      <c r="L3097" s="3"/>
      <c r="M3097" s="3"/>
      <c r="N3097" s="3"/>
    </row>
    <row r="3098" spans="1:14" ht="16.5" customHeight="1">
      <c r="A3098" s="3"/>
      <c r="B3098" s="3"/>
      <c r="C3098" s="3"/>
      <c r="D3098" s="3"/>
      <c r="E3098" s="3"/>
      <c r="F3098" s="3"/>
      <c r="G3098" s="3"/>
      <c r="H3098" s="3"/>
      <c r="I3098" s="3"/>
      <c r="J3098" s="3"/>
      <c r="K3098" s="3"/>
      <c r="L3098" s="3"/>
      <c r="M3098" s="3"/>
      <c r="N3098" s="3"/>
    </row>
    <row r="3099" spans="1:14" ht="16.5" customHeight="1">
      <c r="A3099" s="3"/>
      <c r="B3099" s="3"/>
      <c r="C3099" s="3"/>
      <c r="D3099" s="3"/>
      <c r="E3099" s="3"/>
      <c r="F3099" s="3"/>
      <c r="G3099" s="3"/>
      <c r="H3099" s="3"/>
      <c r="I3099" s="3"/>
      <c r="J3099" s="3"/>
      <c r="K3099" s="3"/>
      <c r="L3099" s="3"/>
      <c r="M3099" s="3"/>
      <c r="N3099" s="3"/>
    </row>
    <row r="3100" spans="1:14" ht="16.5" customHeight="1">
      <c r="A3100" s="3"/>
      <c r="B3100" s="3"/>
      <c r="C3100" s="3"/>
      <c r="D3100" s="3"/>
      <c r="E3100" s="3"/>
      <c r="F3100" s="3"/>
      <c r="G3100" s="3"/>
      <c r="H3100" s="3"/>
      <c r="I3100" s="3"/>
      <c r="J3100" s="3"/>
      <c r="K3100" s="3"/>
      <c r="L3100" s="3"/>
      <c r="M3100" s="3"/>
      <c r="N3100" s="3"/>
    </row>
    <row r="3101" spans="1:14" ht="16.5" customHeight="1">
      <c r="A3101" s="3"/>
      <c r="B3101" s="3"/>
      <c r="C3101" s="3"/>
      <c r="D3101" s="3"/>
      <c r="E3101" s="3"/>
      <c r="F3101" s="3"/>
      <c r="G3101" s="3"/>
      <c r="H3101" s="3"/>
      <c r="I3101" s="3"/>
      <c r="J3101" s="3"/>
      <c r="K3101" s="3"/>
      <c r="L3101" s="3"/>
      <c r="M3101" s="3"/>
      <c r="N3101" s="3"/>
    </row>
    <row r="3102" spans="1:14" ht="16.5" customHeight="1">
      <c r="A3102" s="3"/>
      <c r="B3102" s="3"/>
      <c r="C3102" s="3"/>
      <c r="D3102" s="3"/>
      <c r="E3102" s="3"/>
      <c r="F3102" s="3"/>
      <c r="G3102" s="3"/>
      <c r="H3102" s="3"/>
      <c r="I3102" s="3"/>
      <c r="J3102" s="3"/>
      <c r="K3102" s="3"/>
      <c r="L3102" s="3"/>
      <c r="M3102" s="3"/>
      <c r="N3102" s="3"/>
    </row>
    <row r="3103" spans="1:14" ht="16.5" customHeight="1">
      <c r="A3103" s="3"/>
      <c r="B3103" s="3"/>
      <c r="C3103" s="3"/>
      <c r="D3103" s="3"/>
      <c r="E3103" s="3"/>
      <c r="F3103" s="3"/>
      <c r="G3103" s="3"/>
      <c r="H3103" s="3"/>
      <c r="I3103" s="3"/>
      <c r="J3103" s="3"/>
      <c r="K3103" s="3"/>
      <c r="L3103" s="3"/>
      <c r="M3103" s="3"/>
      <c r="N3103" s="3"/>
    </row>
    <row r="3104" spans="1:14" ht="16.5" customHeight="1">
      <c r="A3104" s="3"/>
      <c r="B3104" s="3"/>
      <c r="C3104" s="3"/>
      <c r="D3104" s="3"/>
      <c r="E3104" s="3"/>
      <c r="F3104" s="3"/>
      <c r="G3104" s="3"/>
      <c r="H3104" s="3"/>
      <c r="I3104" s="3"/>
      <c r="J3104" s="3"/>
      <c r="K3104" s="3"/>
      <c r="L3104" s="3"/>
      <c r="M3104" s="3"/>
      <c r="N3104" s="3"/>
    </row>
    <row r="3105" spans="1:14" ht="16.5" customHeight="1">
      <c r="A3105" s="3"/>
      <c r="B3105" s="3"/>
      <c r="C3105" s="3"/>
      <c r="D3105" s="3"/>
      <c r="E3105" s="3"/>
      <c r="F3105" s="3"/>
      <c r="G3105" s="3"/>
      <c r="H3105" s="3"/>
      <c r="I3105" s="3"/>
      <c r="J3105" s="3"/>
      <c r="K3105" s="3"/>
      <c r="L3105" s="3"/>
      <c r="M3105" s="3"/>
      <c r="N3105" s="3"/>
    </row>
    <row r="3106" spans="1:14" ht="16.5" customHeight="1">
      <c r="A3106" s="3"/>
      <c r="B3106" s="3"/>
      <c r="C3106" s="3"/>
      <c r="D3106" s="3"/>
      <c r="E3106" s="3"/>
      <c r="F3106" s="3"/>
      <c r="G3106" s="3"/>
      <c r="H3106" s="3"/>
      <c r="I3106" s="3"/>
      <c r="J3106" s="3"/>
      <c r="K3106" s="3"/>
      <c r="L3106" s="3"/>
      <c r="M3106" s="3"/>
      <c r="N3106" s="3"/>
    </row>
    <row r="3107" spans="1:14" ht="16.5" customHeight="1">
      <c r="A3107" s="3"/>
      <c r="B3107" s="3"/>
      <c r="C3107" s="3"/>
      <c r="D3107" s="3"/>
      <c r="E3107" s="3"/>
      <c r="F3107" s="3"/>
      <c r="G3107" s="3"/>
      <c r="H3107" s="3"/>
      <c r="I3107" s="3"/>
      <c r="J3107" s="3"/>
      <c r="K3107" s="3"/>
      <c r="L3107" s="3"/>
      <c r="M3107" s="3"/>
      <c r="N3107" s="3"/>
    </row>
    <row r="3108" spans="1:14" ht="16.5" customHeight="1">
      <c r="A3108" s="3"/>
      <c r="B3108" s="3"/>
      <c r="C3108" s="3"/>
      <c r="D3108" s="3"/>
      <c r="E3108" s="3"/>
      <c r="F3108" s="3"/>
      <c r="G3108" s="3"/>
      <c r="H3108" s="3"/>
      <c r="I3108" s="3"/>
      <c r="J3108" s="3"/>
      <c r="K3108" s="3"/>
      <c r="L3108" s="3"/>
      <c r="M3108" s="3"/>
      <c r="N3108" s="3"/>
    </row>
    <row r="3109" spans="1:14" ht="16.5" customHeight="1">
      <c r="A3109" s="3"/>
      <c r="B3109" s="3"/>
      <c r="C3109" s="3"/>
      <c r="D3109" s="3"/>
      <c r="E3109" s="3"/>
      <c r="F3109" s="3"/>
      <c r="G3109" s="3"/>
      <c r="H3109" s="3"/>
      <c r="I3109" s="3"/>
      <c r="J3109" s="3"/>
      <c r="K3109" s="3"/>
      <c r="L3109" s="3"/>
      <c r="M3109" s="3"/>
      <c r="N3109" s="3"/>
    </row>
    <row r="3110" spans="1:14" ht="16.5" customHeight="1">
      <c r="A3110" s="3"/>
      <c r="B3110" s="3"/>
      <c r="C3110" s="3"/>
      <c r="D3110" s="3"/>
      <c r="E3110" s="3"/>
      <c r="F3110" s="3"/>
      <c r="G3110" s="3"/>
      <c r="H3110" s="3"/>
      <c r="I3110" s="3"/>
      <c r="J3110" s="3"/>
      <c r="K3110" s="3"/>
      <c r="L3110" s="3"/>
      <c r="M3110" s="3"/>
      <c r="N3110" s="3"/>
    </row>
    <row r="3111" spans="1:14" ht="16.5" customHeight="1">
      <c r="A3111" s="3"/>
      <c r="B3111" s="3"/>
      <c r="C3111" s="3"/>
      <c r="D3111" s="3"/>
      <c r="E3111" s="3"/>
      <c r="F3111" s="3"/>
      <c r="G3111" s="3"/>
      <c r="H3111" s="3"/>
      <c r="I3111" s="3"/>
      <c r="J3111" s="3"/>
      <c r="K3111" s="3"/>
      <c r="L3111" s="3"/>
      <c r="M3111" s="3"/>
      <c r="N3111" s="3"/>
    </row>
    <row r="3112" spans="1:14" ht="16.5" customHeight="1">
      <c r="A3112" s="3"/>
      <c r="B3112" s="3"/>
      <c r="C3112" s="3"/>
      <c r="D3112" s="3"/>
      <c r="E3112" s="3"/>
      <c r="F3112" s="3"/>
      <c r="G3112" s="3"/>
      <c r="H3112" s="3"/>
      <c r="I3112" s="3"/>
      <c r="J3112" s="3"/>
      <c r="K3112" s="3"/>
      <c r="L3112" s="3"/>
      <c r="M3112" s="3"/>
      <c r="N3112" s="3"/>
    </row>
    <row r="3113" spans="1:14" ht="16.5" customHeight="1">
      <c r="A3113" s="3"/>
      <c r="B3113" s="3"/>
      <c r="C3113" s="3"/>
      <c r="D3113" s="3"/>
      <c r="E3113" s="3"/>
      <c r="F3113" s="3"/>
      <c r="G3113" s="3"/>
      <c r="H3113" s="3"/>
      <c r="I3113" s="3"/>
      <c r="J3113" s="3"/>
      <c r="K3113" s="3"/>
      <c r="L3113" s="3"/>
      <c r="M3113" s="3"/>
      <c r="N3113" s="3"/>
    </row>
    <row r="3114" spans="1:14" ht="16.5" customHeight="1">
      <c r="A3114" s="3"/>
      <c r="B3114" s="3"/>
      <c r="C3114" s="3"/>
      <c r="D3114" s="3"/>
      <c r="E3114" s="3"/>
      <c r="F3114" s="3"/>
      <c r="G3114" s="3"/>
      <c r="H3114" s="3"/>
      <c r="I3114" s="3"/>
      <c r="J3114" s="3"/>
      <c r="K3114" s="3"/>
      <c r="L3114" s="3"/>
      <c r="M3114" s="3"/>
      <c r="N3114" s="3"/>
    </row>
    <row r="3115" spans="1:14" ht="16.5" customHeight="1">
      <c r="A3115" s="3"/>
      <c r="B3115" s="3"/>
      <c r="C3115" s="3"/>
      <c r="D3115" s="3"/>
      <c r="E3115" s="3"/>
      <c r="F3115" s="3"/>
      <c r="G3115" s="3"/>
      <c r="H3115" s="3"/>
      <c r="I3115" s="3"/>
      <c r="J3115" s="3"/>
      <c r="K3115" s="3"/>
      <c r="L3115" s="3"/>
      <c r="M3115" s="3"/>
      <c r="N3115" s="3"/>
    </row>
    <row r="3116" spans="1:14" ht="16.5" customHeight="1">
      <c r="A3116" s="3"/>
      <c r="B3116" s="3"/>
      <c r="C3116" s="3"/>
      <c r="D3116" s="3"/>
      <c r="E3116" s="3"/>
      <c r="F3116" s="3"/>
      <c r="G3116" s="3"/>
      <c r="H3116" s="3"/>
      <c r="I3116" s="3"/>
      <c r="J3116" s="3"/>
      <c r="K3116" s="3"/>
      <c r="L3116" s="3"/>
      <c r="M3116" s="3"/>
      <c r="N3116" s="3"/>
    </row>
    <row r="3117" spans="1:14" ht="16.5" customHeight="1">
      <c r="A3117" s="3"/>
      <c r="B3117" s="3"/>
      <c r="C3117" s="3"/>
      <c r="D3117" s="3"/>
      <c r="E3117" s="3"/>
      <c r="F3117" s="3"/>
      <c r="G3117" s="3"/>
      <c r="H3117" s="3"/>
      <c r="I3117" s="3"/>
      <c r="J3117" s="3"/>
      <c r="K3117" s="3"/>
      <c r="L3117" s="3"/>
      <c r="M3117" s="3"/>
      <c r="N3117" s="3"/>
    </row>
    <row r="3118" spans="1:14" ht="16.5" customHeight="1">
      <c r="A3118" s="3"/>
      <c r="B3118" s="3"/>
      <c r="C3118" s="3"/>
      <c r="D3118" s="3"/>
      <c r="E3118" s="3"/>
      <c r="F3118" s="3"/>
      <c r="G3118" s="3"/>
      <c r="H3118" s="3"/>
      <c r="I3118" s="3"/>
      <c r="J3118" s="3"/>
      <c r="K3118" s="3"/>
      <c r="L3118" s="3"/>
      <c r="M3118" s="3"/>
      <c r="N3118" s="3"/>
    </row>
    <row r="3119" spans="1:14" ht="16.5" customHeight="1">
      <c r="A3119" s="3"/>
      <c r="B3119" s="3"/>
      <c r="C3119" s="3"/>
      <c r="D3119" s="3"/>
      <c r="E3119" s="3"/>
      <c r="F3119" s="3"/>
      <c r="G3119" s="3"/>
      <c r="H3119" s="3"/>
      <c r="I3119" s="3"/>
      <c r="J3119" s="3"/>
      <c r="K3119" s="3"/>
      <c r="L3119" s="3"/>
      <c r="M3119" s="3"/>
      <c r="N3119" s="3"/>
    </row>
    <row r="3120" spans="1:14" ht="16.5" customHeight="1">
      <c r="A3120" s="3"/>
      <c r="B3120" s="3"/>
      <c r="C3120" s="3"/>
      <c r="D3120" s="3"/>
      <c r="E3120" s="3"/>
      <c r="F3120" s="3"/>
      <c r="G3120" s="3"/>
      <c r="H3120" s="3"/>
      <c r="I3120" s="3"/>
      <c r="J3120" s="3"/>
      <c r="K3120" s="3"/>
      <c r="L3120" s="3"/>
      <c r="M3120" s="3"/>
      <c r="N3120" s="3"/>
    </row>
    <row r="3121" spans="1:14" ht="16.5" customHeight="1">
      <c r="A3121" s="3"/>
      <c r="B3121" s="3"/>
      <c r="C3121" s="3"/>
      <c r="D3121" s="3"/>
      <c r="E3121" s="3"/>
      <c r="F3121" s="3"/>
      <c r="G3121" s="3"/>
      <c r="H3121" s="3"/>
      <c r="I3121" s="3"/>
      <c r="J3121" s="3"/>
      <c r="K3121" s="3"/>
      <c r="L3121" s="3"/>
      <c r="M3121" s="3"/>
      <c r="N3121" s="3"/>
    </row>
    <row r="3122" spans="1:14" ht="16.5" customHeight="1">
      <c r="A3122" s="3"/>
      <c r="B3122" s="3"/>
      <c r="C3122" s="3"/>
      <c r="D3122" s="3"/>
      <c r="E3122" s="3"/>
      <c r="F3122" s="3"/>
      <c r="G3122" s="3"/>
      <c r="H3122" s="3"/>
      <c r="I3122" s="3"/>
      <c r="J3122" s="3"/>
      <c r="K3122" s="3"/>
      <c r="L3122" s="3"/>
      <c r="M3122" s="3"/>
      <c r="N3122" s="3"/>
    </row>
    <row r="3123" spans="1:14" ht="16.5" customHeight="1">
      <c r="A3123" s="3"/>
      <c r="B3123" s="3"/>
      <c r="C3123" s="3"/>
      <c r="D3123" s="3"/>
      <c r="E3123" s="3"/>
      <c r="F3123" s="3"/>
      <c r="G3123" s="3"/>
      <c r="H3123" s="3"/>
      <c r="I3123" s="3"/>
      <c r="J3123" s="3"/>
      <c r="K3123" s="3"/>
      <c r="L3123" s="3"/>
      <c r="M3123" s="3"/>
      <c r="N3123" s="3"/>
    </row>
    <row r="3124" spans="1:14" ht="16.5" customHeight="1">
      <c r="A3124" s="3"/>
      <c r="B3124" s="3"/>
      <c r="C3124" s="3"/>
      <c r="D3124" s="3"/>
      <c r="E3124" s="3"/>
      <c r="F3124" s="3"/>
      <c r="G3124" s="3"/>
      <c r="H3124" s="3"/>
      <c r="I3124" s="3"/>
      <c r="J3124" s="3"/>
      <c r="K3124" s="3"/>
      <c r="L3124" s="3"/>
      <c r="M3124" s="3"/>
      <c r="N3124" s="3"/>
    </row>
    <row r="3125" spans="1:14" ht="16.5" customHeight="1">
      <c r="A3125" s="3"/>
      <c r="B3125" s="3"/>
      <c r="C3125" s="3"/>
      <c r="D3125" s="3"/>
      <c r="E3125" s="3"/>
      <c r="F3125" s="3"/>
      <c r="G3125" s="3"/>
      <c r="H3125" s="3"/>
      <c r="I3125" s="3"/>
      <c r="J3125" s="3"/>
      <c r="K3125" s="3"/>
      <c r="L3125" s="3"/>
      <c r="M3125" s="3"/>
      <c r="N3125" s="3"/>
    </row>
    <row r="3126" spans="1:14" ht="16.5" customHeight="1">
      <c r="A3126" s="3"/>
      <c r="B3126" s="3"/>
      <c r="C3126" s="3"/>
      <c r="D3126" s="3"/>
      <c r="E3126" s="3"/>
      <c r="F3126" s="3"/>
      <c r="G3126" s="3"/>
      <c r="H3126" s="3"/>
      <c r="I3126" s="3"/>
      <c r="J3126" s="3"/>
      <c r="K3126" s="3"/>
      <c r="L3126" s="3"/>
      <c r="M3126" s="3"/>
      <c r="N3126" s="3"/>
    </row>
    <row r="3127" spans="1:14" ht="16.5" customHeight="1">
      <c r="A3127" s="3"/>
      <c r="B3127" s="3"/>
      <c r="C3127" s="3"/>
      <c r="D3127" s="3"/>
      <c r="E3127" s="3"/>
      <c r="F3127" s="3"/>
      <c r="G3127" s="3"/>
      <c r="H3127" s="3"/>
      <c r="I3127" s="3"/>
      <c r="J3127" s="3"/>
      <c r="K3127" s="3"/>
      <c r="L3127" s="3"/>
      <c r="M3127" s="3"/>
      <c r="N3127" s="3"/>
    </row>
    <row r="3128" spans="1:14" ht="16.5" customHeight="1">
      <c r="A3128" s="3"/>
      <c r="B3128" s="3"/>
      <c r="C3128" s="3"/>
      <c r="D3128" s="3"/>
      <c r="E3128" s="3"/>
      <c r="F3128" s="3"/>
      <c r="G3128" s="3"/>
      <c r="H3128" s="3"/>
      <c r="I3128" s="3"/>
      <c r="J3128" s="3"/>
      <c r="K3128" s="3"/>
      <c r="L3128" s="3"/>
      <c r="M3128" s="3"/>
      <c r="N3128" s="3"/>
    </row>
    <row r="3129" spans="1:14" ht="16.5" customHeight="1">
      <c r="A3129" s="3"/>
      <c r="B3129" s="3"/>
      <c r="C3129" s="3"/>
      <c r="D3129" s="3"/>
      <c r="E3129" s="3"/>
      <c r="F3129" s="3"/>
      <c r="G3129" s="3"/>
      <c r="H3129" s="3"/>
      <c r="I3129" s="3"/>
      <c r="J3129" s="3"/>
      <c r="K3129" s="3"/>
      <c r="L3129" s="3"/>
      <c r="M3129" s="3"/>
      <c r="N3129" s="3"/>
    </row>
    <row r="3130" spans="1:14" ht="16.5" customHeight="1">
      <c r="A3130" s="3"/>
      <c r="B3130" s="3"/>
      <c r="C3130" s="3"/>
      <c r="D3130" s="3"/>
      <c r="E3130" s="3"/>
      <c r="F3130" s="3"/>
      <c r="G3130" s="3"/>
      <c r="H3130" s="3"/>
      <c r="I3130" s="3"/>
      <c r="J3130" s="3"/>
      <c r="K3130" s="3"/>
      <c r="L3130" s="3"/>
      <c r="M3130" s="3"/>
      <c r="N3130" s="3"/>
    </row>
    <row r="3131" spans="1:14" ht="16.5" customHeight="1">
      <c r="A3131" s="3"/>
      <c r="B3131" s="3"/>
      <c r="C3131" s="3"/>
      <c r="D3131" s="3"/>
      <c r="E3131" s="3"/>
      <c r="F3131" s="3"/>
      <c r="G3131" s="3"/>
      <c r="H3131" s="3"/>
      <c r="I3131" s="3"/>
      <c r="J3131" s="3"/>
      <c r="K3131" s="3"/>
      <c r="L3131" s="3"/>
      <c r="M3131" s="3"/>
      <c r="N3131" s="3"/>
    </row>
    <row r="3132" spans="1:14" ht="16.5" customHeight="1">
      <c r="A3132" s="3"/>
      <c r="B3132" s="3"/>
      <c r="C3132" s="3"/>
      <c r="D3132" s="3"/>
      <c r="E3132" s="3"/>
      <c r="F3132" s="3"/>
      <c r="G3132" s="3"/>
      <c r="H3132" s="3"/>
      <c r="I3132" s="3"/>
      <c r="J3132" s="3"/>
      <c r="K3132" s="3"/>
      <c r="L3132" s="3"/>
      <c r="M3132" s="3"/>
      <c r="N3132" s="3"/>
    </row>
    <row r="3133" spans="1:14" ht="16.5" customHeight="1">
      <c r="A3133" s="3"/>
      <c r="B3133" s="3"/>
      <c r="C3133" s="3"/>
      <c r="D3133" s="3"/>
      <c r="E3133" s="3"/>
      <c r="F3133" s="3"/>
      <c r="G3133" s="3"/>
      <c r="H3133" s="3"/>
      <c r="I3133" s="3"/>
      <c r="J3133" s="3"/>
      <c r="K3133" s="3"/>
      <c r="L3133" s="3"/>
      <c r="M3133" s="3"/>
      <c r="N3133" s="3"/>
    </row>
    <row r="3134" spans="1:14" ht="16.5" customHeight="1">
      <c r="A3134" s="3"/>
      <c r="B3134" s="3"/>
      <c r="C3134" s="3"/>
      <c r="D3134" s="3"/>
      <c r="E3134" s="3"/>
      <c r="F3134" s="3"/>
      <c r="G3134" s="3"/>
      <c r="H3134" s="3"/>
      <c r="I3134" s="3"/>
      <c r="J3134" s="3"/>
      <c r="K3134" s="3"/>
      <c r="L3134" s="3"/>
      <c r="M3134" s="3"/>
      <c r="N3134" s="3"/>
    </row>
    <row r="3135" spans="1:14" ht="16.5" customHeight="1">
      <c r="A3135" s="3"/>
      <c r="B3135" s="3"/>
      <c r="C3135" s="3"/>
      <c r="D3135" s="3"/>
      <c r="E3135" s="3"/>
      <c r="F3135" s="3"/>
      <c r="G3135" s="3"/>
      <c r="H3135" s="3"/>
      <c r="I3135" s="3"/>
      <c r="J3135" s="3"/>
      <c r="K3135" s="3"/>
      <c r="L3135" s="3"/>
      <c r="M3135" s="3"/>
      <c r="N3135" s="3"/>
    </row>
    <row r="3136" spans="1:14" ht="16.5" customHeight="1">
      <c r="A3136" s="3"/>
      <c r="B3136" s="3"/>
      <c r="C3136" s="3"/>
      <c r="D3136" s="3"/>
      <c r="E3136" s="3"/>
      <c r="F3136" s="3"/>
      <c r="G3136" s="3"/>
      <c r="H3136" s="3"/>
      <c r="I3136" s="3"/>
      <c r="J3136" s="3"/>
      <c r="K3136" s="3"/>
      <c r="L3136" s="3"/>
      <c r="M3136" s="3"/>
      <c r="N3136" s="3"/>
    </row>
    <row r="3137" spans="1:14" ht="16.5" customHeight="1">
      <c r="A3137" s="3"/>
      <c r="B3137" s="3"/>
      <c r="C3137" s="3"/>
      <c r="D3137" s="3"/>
      <c r="E3137" s="3"/>
      <c r="F3137" s="3"/>
      <c r="G3137" s="3"/>
      <c r="H3137" s="3"/>
      <c r="I3137" s="3"/>
      <c r="J3137" s="3"/>
      <c r="K3137" s="3"/>
      <c r="L3137" s="3"/>
      <c r="M3137" s="3"/>
      <c r="N3137" s="3"/>
    </row>
    <row r="3138" spans="1:14" ht="16.5" customHeight="1">
      <c r="A3138" s="3"/>
      <c r="B3138" s="3"/>
      <c r="C3138" s="3"/>
      <c r="D3138" s="3"/>
      <c r="E3138" s="3"/>
      <c r="F3138" s="3"/>
      <c r="G3138" s="3"/>
      <c r="H3138" s="3"/>
      <c r="I3138" s="3"/>
      <c r="J3138" s="3"/>
      <c r="K3138" s="3"/>
      <c r="L3138" s="3"/>
      <c r="M3138" s="3"/>
      <c r="N3138" s="3"/>
    </row>
    <row r="3139" spans="1:14" ht="16.5" customHeight="1">
      <c r="A3139" s="3"/>
      <c r="B3139" s="3"/>
      <c r="C3139" s="3"/>
      <c r="D3139" s="3"/>
      <c r="E3139" s="3"/>
      <c r="F3139" s="3"/>
      <c r="G3139" s="3"/>
      <c r="H3139" s="3"/>
      <c r="I3139" s="3"/>
      <c r="J3139" s="3"/>
      <c r="K3139" s="3"/>
      <c r="L3139" s="3"/>
      <c r="M3139" s="3"/>
      <c r="N3139" s="3"/>
    </row>
    <row r="3140" spans="1:14" ht="16.5" customHeight="1">
      <c r="A3140" s="3"/>
      <c r="B3140" s="3"/>
      <c r="C3140" s="3"/>
      <c r="D3140" s="3"/>
      <c r="E3140" s="3"/>
      <c r="F3140" s="3"/>
      <c r="G3140" s="3"/>
      <c r="H3140" s="3"/>
      <c r="I3140" s="3"/>
      <c r="J3140" s="3"/>
      <c r="K3140" s="3"/>
      <c r="L3140" s="3"/>
      <c r="M3140" s="3"/>
      <c r="N3140" s="3"/>
    </row>
    <row r="3141" spans="1:14" ht="16.5" customHeight="1">
      <c r="A3141" s="3"/>
      <c r="B3141" s="3"/>
      <c r="C3141" s="3"/>
      <c r="D3141" s="3"/>
      <c r="E3141" s="3"/>
      <c r="F3141" s="3"/>
      <c r="G3141" s="3"/>
      <c r="H3141" s="3"/>
      <c r="I3141" s="3"/>
      <c r="J3141" s="3"/>
      <c r="K3141" s="3"/>
      <c r="L3141" s="3"/>
      <c r="M3141" s="3"/>
      <c r="N3141" s="3"/>
    </row>
    <row r="3142" spans="1:14" ht="16.5" customHeight="1">
      <c r="A3142" s="3"/>
      <c r="B3142" s="3"/>
      <c r="C3142" s="3"/>
      <c r="D3142" s="3"/>
      <c r="E3142" s="3"/>
      <c r="F3142" s="3"/>
      <c r="G3142" s="3"/>
      <c r="H3142" s="3"/>
      <c r="I3142" s="3"/>
      <c r="J3142" s="3"/>
      <c r="K3142" s="3"/>
      <c r="L3142" s="3"/>
      <c r="M3142" s="3"/>
      <c r="N3142" s="3"/>
    </row>
    <row r="3143" spans="1:14" ht="16.5" customHeight="1">
      <c r="A3143" s="3"/>
      <c r="B3143" s="3"/>
      <c r="C3143" s="3"/>
      <c r="D3143" s="3"/>
      <c r="E3143" s="3"/>
      <c r="F3143" s="3"/>
      <c r="G3143" s="3"/>
      <c r="H3143" s="3"/>
      <c r="I3143" s="3"/>
      <c r="J3143" s="3"/>
      <c r="K3143" s="3"/>
      <c r="L3143" s="3"/>
      <c r="M3143" s="3"/>
      <c r="N3143" s="3"/>
    </row>
    <row r="3144" spans="1:14" ht="16.5" customHeight="1">
      <c r="A3144" s="3"/>
      <c r="B3144" s="3"/>
      <c r="C3144" s="3"/>
      <c r="D3144" s="3"/>
      <c r="E3144" s="3"/>
      <c r="F3144" s="3"/>
      <c r="G3144" s="3"/>
      <c r="H3144" s="3"/>
      <c r="I3144" s="3"/>
      <c r="J3144" s="3"/>
      <c r="K3144" s="3"/>
      <c r="L3144" s="3"/>
      <c r="M3144" s="3"/>
      <c r="N3144" s="3"/>
    </row>
    <row r="3145" spans="1:14" ht="16.5" customHeight="1">
      <c r="A3145" s="3"/>
      <c r="B3145" s="3"/>
      <c r="C3145" s="3"/>
      <c r="D3145" s="3"/>
      <c r="E3145" s="3"/>
      <c r="F3145" s="3"/>
      <c r="G3145" s="3"/>
      <c r="H3145" s="3"/>
      <c r="I3145" s="3"/>
      <c r="J3145" s="3"/>
      <c r="K3145" s="3"/>
      <c r="L3145" s="3"/>
      <c r="M3145" s="3"/>
      <c r="N3145" s="3"/>
    </row>
    <row r="3146" spans="1:14" ht="16.5" customHeight="1">
      <c r="A3146" s="3"/>
      <c r="B3146" s="3"/>
      <c r="C3146" s="3"/>
      <c r="D3146" s="3"/>
      <c r="E3146" s="3"/>
      <c r="F3146" s="3"/>
      <c r="G3146" s="3"/>
      <c r="H3146" s="3"/>
      <c r="I3146" s="3"/>
      <c r="J3146" s="3"/>
      <c r="K3146" s="3"/>
      <c r="L3146" s="3"/>
      <c r="M3146" s="3"/>
      <c r="N3146" s="3"/>
    </row>
    <row r="3147" spans="1:14" ht="16.5" customHeight="1">
      <c r="A3147" s="3"/>
      <c r="B3147" s="3"/>
      <c r="C3147" s="3"/>
      <c r="D3147" s="3"/>
      <c r="E3147" s="3"/>
      <c r="F3147" s="3"/>
      <c r="G3147" s="3"/>
      <c r="H3147" s="3"/>
      <c r="I3147" s="3"/>
      <c r="J3147" s="3"/>
      <c r="K3147" s="3"/>
      <c r="L3147" s="3"/>
      <c r="M3147" s="3"/>
      <c r="N3147" s="3"/>
    </row>
    <row r="3148" spans="1:14" ht="16.5" customHeight="1">
      <c r="A3148" s="3"/>
      <c r="B3148" s="3"/>
      <c r="C3148" s="3"/>
      <c r="D3148" s="3"/>
      <c r="E3148" s="3"/>
      <c r="F3148" s="3"/>
      <c r="G3148" s="3"/>
      <c r="H3148" s="3"/>
      <c r="I3148" s="3"/>
      <c r="J3148" s="3"/>
      <c r="K3148" s="3"/>
      <c r="L3148" s="3"/>
      <c r="M3148" s="3"/>
      <c r="N3148" s="3"/>
    </row>
    <row r="3149" spans="1:14" ht="16.5" customHeight="1">
      <c r="A3149" s="3"/>
      <c r="B3149" s="3"/>
      <c r="C3149" s="3"/>
      <c r="D3149" s="3"/>
      <c r="E3149" s="3"/>
      <c r="F3149" s="3"/>
      <c r="G3149" s="3"/>
      <c r="H3149" s="3"/>
      <c r="I3149" s="3"/>
      <c r="J3149" s="3"/>
      <c r="K3149" s="3"/>
      <c r="L3149" s="3"/>
      <c r="M3149" s="3"/>
      <c r="N3149" s="3"/>
    </row>
    <row r="3150" spans="1:14" ht="16.5" customHeight="1">
      <c r="A3150" s="3"/>
      <c r="B3150" s="3"/>
      <c r="C3150" s="3"/>
      <c r="D3150" s="3"/>
      <c r="E3150" s="3"/>
      <c r="F3150" s="3"/>
      <c r="G3150" s="3"/>
      <c r="H3150" s="3"/>
      <c r="I3150" s="3"/>
      <c r="J3150" s="3"/>
      <c r="K3150" s="3"/>
      <c r="L3150" s="3"/>
      <c r="M3150" s="3"/>
      <c r="N3150" s="3"/>
    </row>
    <row r="3151" spans="1:14" ht="16.5" customHeight="1">
      <c r="A3151" s="3"/>
      <c r="B3151" s="3"/>
      <c r="C3151" s="3"/>
      <c r="D3151" s="3"/>
      <c r="E3151" s="3"/>
      <c r="F3151" s="3"/>
      <c r="G3151" s="3"/>
      <c r="H3151" s="3"/>
      <c r="I3151" s="3"/>
      <c r="J3151" s="3"/>
      <c r="K3151" s="3"/>
      <c r="L3151" s="3"/>
      <c r="M3151" s="3"/>
      <c r="N3151" s="3"/>
    </row>
    <row r="3152" spans="1:14" ht="16.5" customHeight="1">
      <c r="A3152" s="3"/>
      <c r="B3152" s="3"/>
      <c r="C3152" s="3"/>
      <c r="D3152" s="3"/>
      <c r="E3152" s="3"/>
      <c r="F3152" s="3"/>
      <c r="G3152" s="3"/>
      <c r="H3152" s="3"/>
      <c r="I3152" s="3"/>
      <c r="J3152" s="3"/>
      <c r="K3152" s="3"/>
      <c r="L3152" s="3"/>
      <c r="M3152" s="3"/>
      <c r="N3152" s="3"/>
    </row>
    <row r="3153" spans="1:14" ht="16.5" customHeight="1">
      <c r="A3153" s="3"/>
      <c r="B3153" s="3"/>
      <c r="C3153" s="3"/>
      <c r="D3153" s="3"/>
      <c r="E3153" s="3"/>
      <c r="F3153" s="3"/>
      <c r="G3153" s="3"/>
      <c r="H3153" s="3"/>
      <c r="I3153" s="3"/>
      <c r="J3153" s="3"/>
      <c r="K3153" s="3"/>
      <c r="L3153" s="3"/>
      <c r="M3153" s="3"/>
      <c r="N3153" s="3"/>
    </row>
    <row r="3154" spans="1:14" ht="16.5" customHeight="1">
      <c r="A3154" s="3"/>
      <c r="B3154" s="3"/>
      <c r="C3154" s="3"/>
      <c r="D3154" s="3"/>
      <c r="E3154" s="3"/>
      <c r="F3154" s="3"/>
      <c r="G3154" s="3"/>
      <c r="H3154" s="3"/>
      <c r="I3154" s="3"/>
      <c r="J3154" s="3"/>
      <c r="K3154" s="3"/>
      <c r="L3154" s="3"/>
      <c r="M3154" s="3"/>
      <c r="N3154" s="3"/>
    </row>
    <row r="3155" spans="1:14" ht="16.5" customHeight="1">
      <c r="A3155" s="3"/>
      <c r="B3155" s="3"/>
      <c r="C3155" s="3"/>
      <c r="D3155" s="3"/>
      <c r="E3155" s="3"/>
      <c r="F3155" s="3"/>
      <c r="G3155" s="3"/>
      <c r="H3155" s="3"/>
      <c r="I3155" s="3"/>
      <c r="J3155" s="3"/>
      <c r="K3155" s="3"/>
      <c r="L3155" s="3"/>
      <c r="M3155" s="3"/>
      <c r="N3155" s="3"/>
    </row>
    <row r="3156" spans="1:14" ht="16.5" customHeight="1">
      <c r="A3156" s="3"/>
      <c r="B3156" s="3"/>
      <c r="C3156" s="3"/>
      <c r="D3156" s="3"/>
      <c r="E3156" s="3"/>
      <c r="F3156" s="3"/>
      <c r="G3156" s="3"/>
      <c r="H3156" s="3"/>
      <c r="I3156" s="3"/>
      <c r="J3156" s="3"/>
      <c r="K3156" s="3"/>
      <c r="L3156" s="3"/>
      <c r="M3156" s="3"/>
      <c r="N3156" s="3"/>
    </row>
    <row r="3157" spans="1:14" ht="16.5" customHeight="1">
      <c r="A3157" s="3"/>
      <c r="B3157" s="3"/>
      <c r="C3157" s="3"/>
      <c r="D3157" s="3"/>
      <c r="E3157" s="3"/>
      <c r="F3157" s="3"/>
      <c r="G3157" s="3"/>
      <c r="H3157" s="3"/>
      <c r="I3157" s="3"/>
      <c r="J3157" s="3"/>
      <c r="K3157" s="3"/>
      <c r="L3157" s="3"/>
      <c r="M3157" s="3"/>
      <c r="N3157" s="3"/>
    </row>
    <row r="3158" spans="1:14" ht="16.5" customHeight="1">
      <c r="A3158" s="3"/>
      <c r="B3158" s="3"/>
      <c r="C3158" s="3"/>
      <c r="D3158" s="3"/>
      <c r="E3158" s="3"/>
      <c r="F3158" s="3"/>
      <c r="G3158" s="3"/>
      <c r="H3158" s="3"/>
      <c r="I3158" s="3"/>
      <c r="J3158" s="3"/>
      <c r="K3158" s="3"/>
      <c r="L3158" s="3"/>
      <c r="M3158" s="3"/>
      <c r="N3158" s="3"/>
    </row>
    <row r="3159" spans="1:14" ht="16.5" customHeight="1">
      <c r="A3159" s="3"/>
      <c r="B3159" s="3"/>
      <c r="C3159" s="3"/>
      <c r="D3159" s="3"/>
      <c r="E3159" s="3"/>
      <c r="F3159" s="3"/>
      <c r="G3159" s="3"/>
      <c r="H3159" s="3"/>
      <c r="I3159" s="3"/>
      <c r="J3159" s="3"/>
      <c r="K3159" s="3"/>
      <c r="L3159" s="3"/>
      <c r="M3159" s="3"/>
      <c r="N3159" s="3"/>
    </row>
    <row r="3160" spans="1:14" ht="16.5" customHeight="1">
      <c r="A3160" s="3"/>
      <c r="B3160" s="3"/>
      <c r="C3160" s="3"/>
      <c r="D3160" s="3"/>
      <c r="E3160" s="3"/>
      <c r="F3160" s="3"/>
      <c r="G3160" s="3"/>
      <c r="H3160" s="3"/>
      <c r="I3160" s="3"/>
      <c r="J3160" s="3"/>
      <c r="K3160" s="3"/>
      <c r="L3160" s="3"/>
      <c r="M3160" s="3"/>
      <c r="N3160" s="3"/>
    </row>
    <row r="3161" spans="1:14" ht="16.5" customHeight="1">
      <c r="A3161" s="3"/>
      <c r="B3161" s="3"/>
      <c r="C3161" s="3"/>
      <c r="D3161" s="3"/>
      <c r="E3161" s="3"/>
      <c r="F3161" s="3"/>
      <c r="G3161" s="3"/>
      <c r="H3161" s="3"/>
      <c r="I3161" s="3"/>
      <c r="J3161" s="3"/>
      <c r="K3161" s="3"/>
      <c r="L3161" s="3"/>
      <c r="M3161" s="3"/>
      <c r="N3161" s="3"/>
    </row>
    <row r="3162" spans="1:14" ht="16.5" customHeight="1">
      <c r="A3162" s="3"/>
      <c r="B3162" s="3"/>
      <c r="C3162" s="3"/>
      <c r="D3162" s="3"/>
      <c r="E3162" s="3"/>
      <c r="F3162" s="3"/>
      <c r="G3162" s="3"/>
      <c r="H3162" s="3"/>
      <c r="I3162" s="3"/>
      <c r="J3162" s="3"/>
      <c r="K3162" s="3"/>
      <c r="L3162" s="3"/>
      <c r="M3162" s="3"/>
      <c r="N3162" s="3"/>
    </row>
    <row r="3163" spans="1:14" ht="16.5" customHeight="1">
      <c r="A3163" s="3"/>
      <c r="B3163" s="3"/>
      <c r="C3163" s="3"/>
      <c r="D3163" s="3"/>
      <c r="E3163" s="3"/>
      <c r="F3163" s="3"/>
      <c r="G3163" s="3"/>
      <c r="H3163" s="3"/>
      <c r="I3163" s="3"/>
      <c r="J3163" s="3"/>
      <c r="K3163" s="3"/>
      <c r="L3163" s="3"/>
      <c r="M3163" s="3"/>
      <c r="N3163" s="3"/>
    </row>
    <row r="3164" spans="1:14" ht="16.5" customHeight="1">
      <c r="A3164" s="3"/>
      <c r="B3164" s="3"/>
      <c r="C3164" s="3"/>
      <c r="D3164" s="3"/>
      <c r="E3164" s="3"/>
      <c r="F3164" s="3"/>
      <c r="G3164" s="3"/>
      <c r="H3164" s="3"/>
      <c r="I3164" s="3"/>
      <c r="J3164" s="3"/>
      <c r="K3164" s="3"/>
      <c r="L3164" s="3"/>
      <c r="M3164" s="3"/>
      <c r="N3164" s="3"/>
    </row>
    <row r="3165" spans="1:14" ht="16.5" customHeight="1">
      <c r="A3165" s="3"/>
      <c r="B3165" s="3"/>
      <c r="C3165" s="3"/>
      <c r="D3165" s="3"/>
      <c r="E3165" s="3"/>
      <c r="F3165" s="3"/>
      <c r="G3165" s="3"/>
      <c r="H3165" s="3"/>
      <c r="I3165" s="3"/>
      <c r="J3165" s="3"/>
      <c r="K3165" s="3"/>
      <c r="L3165" s="3"/>
      <c r="M3165" s="3"/>
      <c r="N3165" s="3"/>
    </row>
    <row r="3166" spans="1:14" ht="16.5" customHeight="1">
      <c r="A3166" s="3"/>
      <c r="B3166" s="3"/>
      <c r="C3166" s="3"/>
      <c r="D3166" s="3"/>
      <c r="E3166" s="3"/>
      <c r="F3166" s="3"/>
      <c r="G3166" s="3"/>
      <c r="H3166" s="3"/>
      <c r="I3166" s="3"/>
      <c r="J3166" s="3"/>
      <c r="K3166" s="3"/>
      <c r="L3166" s="3"/>
      <c r="M3166" s="3"/>
      <c r="N3166" s="3"/>
    </row>
    <row r="3167" spans="1:14" ht="16.5" customHeight="1">
      <c r="A3167" s="3"/>
      <c r="B3167" s="3"/>
      <c r="C3167" s="3"/>
      <c r="D3167" s="3"/>
      <c r="E3167" s="3"/>
      <c r="F3167" s="3"/>
      <c r="G3167" s="3"/>
      <c r="H3167" s="3"/>
      <c r="I3167" s="3"/>
      <c r="J3167" s="3"/>
      <c r="K3167" s="3"/>
      <c r="L3167" s="3"/>
      <c r="M3167" s="3"/>
      <c r="N3167" s="3"/>
    </row>
    <row r="3168" spans="1:14" ht="16.5" customHeight="1">
      <c r="A3168" s="3"/>
      <c r="B3168" s="3"/>
      <c r="C3168" s="3"/>
      <c r="D3168" s="3"/>
      <c r="E3168" s="3"/>
      <c r="F3168" s="3"/>
      <c r="G3168" s="3"/>
      <c r="H3168" s="3"/>
      <c r="I3168" s="3"/>
      <c r="J3168" s="3"/>
      <c r="K3168" s="3"/>
      <c r="L3168" s="3"/>
      <c r="M3168" s="3"/>
      <c r="N3168" s="3"/>
    </row>
    <row r="3169" spans="1:14" ht="16.5" customHeight="1">
      <c r="A3169" s="3"/>
      <c r="B3169" s="3"/>
      <c r="C3169" s="3"/>
      <c r="D3169" s="3"/>
      <c r="E3169" s="3"/>
      <c r="F3169" s="3"/>
      <c r="G3169" s="3"/>
      <c r="H3169" s="3"/>
      <c r="I3169" s="3"/>
      <c r="J3169" s="3"/>
      <c r="K3169" s="3"/>
      <c r="L3169" s="3"/>
      <c r="M3169" s="3"/>
      <c r="N3169" s="3"/>
    </row>
    <row r="3170" spans="1:14" ht="16.5" customHeight="1">
      <c r="A3170" s="3"/>
      <c r="B3170" s="3"/>
      <c r="C3170" s="3"/>
      <c r="D3170" s="3"/>
      <c r="E3170" s="3"/>
      <c r="F3170" s="3"/>
      <c r="G3170" s="3"/>
      <c r="H3170" s="3"/>
      <c r="I3170" s="3"/>
      <c r="J3170" s="3"/>
      <c r="K3170" s="3"/>
      <c r="L3170" s="3"/>
      <c r="M3170" s="3"/>
      <c r="N3170" s="3"/>
    </row>
    <row r="3171" spans="1:14" ht="16.5" customHeight="1">
      <c r="A3171" s="3"/>
      <c r="B3171" s="3"/>
      <c r="C3171" s="3"/>
      <c r="D3171" s="3"/>
      <c r="E3171" s="3"/>
      <c r="F3171" s="3"/>
      <c r="G3171" s="3"/>
      <c r="H3171" s="3"/>
      <c r="I3171" s="3"/>
      <c r="J3171" s="3"/>
      <c r="K3171" s="3"/>
      <c r="L3171" s="3"/>
      <c r="M3171" s="3"/>
      <c r="N3171" s="3"/>
    </row>
    <row r="3172" spans="1:14" ht="16.5" customHeight="1">
      <c r="A3172" s="3"/>
      <c r="B3172" s="3"/>
      <c r="C3172" s="3"/>
      <c r="D3172" s="3"/>
      <c r="E3172" s="3"/>
      <c r="F3172" s="3"/>
      <c r="G3172" s="3"/>
      <c r="H3172" s="3"/>
      <c r="I3172" s="3"/>
      <c r="J3172" s="3"/>
      <c r="K3172" s="3"/>
      <c r="L3172" s="3"/>
      <c r="M3172" s="3"/>
      <c r="N3172" s="3"/>
    </row>
    <row r="3173" spans="1:14" ht="16.5" customHeight="1">
      <c r="A3173" s="3"/>
      <c r="B3173" s="3"/>
      <c r="C3173" s="3"/>
      <c r="D3173" s="3"/>
      <c r="E3173" s="3"/>
      <c r="F3173" s="3"/>
      <c r="G3173" s="3"/>
      <c r="H3173" s="3"/>
      <c r="I3173" s="3"/>
      <c r="J3173" s="3"/>
      <c r="K3173" s="3"/>
      <c r="L3173" s="3"/>
      <c r="M3173" s="3"/>
      <c r="N3173" s="3"/>
    </row>
    <row r="3174" spans="1:14" ht="16.5" customHeight="1">
      <c r="A3174" s="3"/>
      <c r="B3174" s="3"/>
      <c r="C3174" s="3"/>
      <c r="D3174" s="3"/>
      <c r="E3174" s="3"/>
      <c r="F3174" s="3"/>
      <c r="G3174" s="3"/>
      <c r="H3174" s="3"/>
      <c r="I3174" s="3"/>
      <c r="J3174" s="3"/>
      <c r="K3174" s="3"/>
      <c r="L3174" s="3"/>
      <c r="M3174" s="3"/>
      <c r="N3174" s="3"/>
    </row>
    <row r="3175" spans="1:14" ht="16.5" customHeight="1">
      <c r="A3175" s="3"/>
      <c r="B3175" s="3"/>
      <c r="C3175" s="3"/>
      <c r="D3175" s="3"/>
      <c r="E3175" s="3"/>
      <c r="F3175" s="3"/>
      <c r="G3175" s="3"/>
      <c r="H3175" s="3"/>
      <c r="I3175" s="3"/>
      <c r="J3175" s="3"/>
      <c r="K3175" s="3"/>
      <c r="L3175" s="3"/>
      <c r="M3175" s="3"/>
      <c r="N3175" s="3"/>
    </row>
    <row r="3176" spans="1:14" ht="16.5" customHeight="1">
      <c r="A3176" s="3"/>
      <c r="B3176" s="3"/>
      <c r="C3176" s="3"/>
      <c r="D3176" s="3"/>
      <c r="E3176" s="3"/>
      <c r="F3176" s="3"/>
      <c r="G3176" s="3"/>
      <c r="H3176" s="3"/>
      <c r="I3176" s="3"/>
      <c r="J3176" s="3"/>
      <c r="K3176" s="3"/>
      <c r="L3176" s="3"/>
      <c r="M3176" s="3"/>
      <c r="N3176" s="3"/>
    </row>
    <row r="3177" spans="1:14" ht="16.5" customHeight="1">
      <c r="A3177" s="3"/>
      <c r="B3177" s="3"/>
      <c r="C3177" s="3"/>
      <c r="D3177" s="3"/>
      <c r="E3177" s="3"/>
      <c r="F3177" s="3"/>
      <c r="G3177" s="3"/>
      <c r="H3177" s="3"/>
      <c r="I3177" s="3"/>
      <c r="J3177" s="3"/>
      <c r="K3177" s="3"/>
      <c r="L3177" s="3"/>
      <c r="M3177" s="3"/>
      <c r="N3177" s="3"/>
    </row>
    <row r="3178" spans="1:14" ht="16.5" customHeight="1">
      <c r="A3178" s="3"/>
      <c r="B3178" s="3"/>
      <c r="C3178" s="3"/>
      <c r="D3178" s="3"/>
      <c r="E3178" s="3"/>
      <c r="F3178" s="3"/>
      <c r="G3178" s="3"/>
      <c r="H3178" s="3"/>
      <c r="I3178" s="3"/>
      <c r="J3178" s="3"/>
      <c r="K3178" s="3"/>
      <c r="L3178" s="3"/>
      <c r="M3178" s="3"/>
      <c r="N3178" s="3"/>
    </row>
    <row r="3179" spans="1:14" ht="16.5" customHeight="1">
      <c r="A3179" s="3"/>
      <c r="B3179" s="3"/>
      <c r="C3179" s="3"/>
      <c r="D3179" s="3"/>
      <c r="E3179" s="3"/>
      <c r="F3179" s="3"/>
      <c r="G3179" s="3"/>
      <c r="H3179" s="3"/>
      <c r="I3179" s="3"/>
      <c r="J3179" s="3"/>
      <c r="K3179" s="3"/>
      <c r="L3179" s="3"/>
      <c r="M3179" s="3"/>
      <c r="N3179" s="3"/>
    </row>
    <row r="3180" spans="1:14" ht="16.5" customHeight="1">
      <c r="A3180" s="3"/>
      <c r="B3180" s="3"/>
      <c r="C3180" s="3"/>
      <c r="D3180" s="3"/>
      <c r="E3180" s="3"/>
      <c r="F3180" s="3"/>
      <c r="G3180" s="3"/>
      <c r="H3180" s="3"/>
      <c r="I3180" s="3"/>
      <c r="J3180" s="3"/>
      <c r="K3180" s="3"/>
      <c r="L3180" s="3"/>
      <c r="M3180" s="3"/>
      <c r="N3180" s="3"/>
    </row>
    <row r="3181" spans="1:14" ht="16.5" customHeight="1">
      <c r="A3181" s="3"/>
      <c r="B3181" s="3"/>
      <c r="C3181" s="3"/>
      <c r="D3181" s="3"/>
      <c r="E3181" s="3"/>
      <c r="F3181" s="3"/>
      <c r="G3181" s="3"/>
      <c r="H3181" s="3"/>
      <c r="I3181" s="3"/>
      <c r="J3181" s="3"/>
      <c r="K3181" s="3"/>
      <c r="L3181" s="3"/>
      <c r="M3181" s="3"/>
      <c r="N3181" s="3"/>
    </row>
    <row r="3182" spans="1:14" ht="16.5" customHeight="1">
      <c r="A3182" s="3"/>
      <c r="B3182" s="3"/>
      <c r="C3182" s="3"/>
      <c r="D3182" s="3"/>
      <c r="E3182" s="3"/>
      <c r="F3182" s="3"/>
      <c r="G3182" s="3"/>
      <c r="H3182" s="3"/>
      <c r="I3182" s="3"/>
      <c r="J3182" s="3"/>
      <c r="K3182" s="3"/>
      <c r="L3182" s="3"/>
      <c r="M3182" s="3"/>
      <c r="N3182" s="3"/>
    </row>
    <row r="3183" spans="1:14" ht="16.5" customHeight="1">
      <c r="A3183" s="3"/>
      <c r="B3183" s="3"/>
      <c r="C3183" s="3"/>
      <c r="D3183" s="3"/>
      <c r="E3183" s="3"/>
      <c r="F3183" s="3"/>
      <c r="G3183" s="3"/>
      <c r="H3183" s="3"/>
      <c r="I3183" s="3"/>
      <c r="J3183" s="3"/>
      <c r="K3183" s="3"/>
      <c r="L3183" s="3"/>
      <c r="M3183" s="3"/>
      <c r="N3183" s="3"/>
    </row>
    <row r="3184" spans="1:14" ht="16.5" customHeight="1">
      <c r="A3184" s="3"/>
      <c r="B3184" s="3"/>
      <c r="C3184" s="3"/>
      <c r="D3184" s="3"/>
      <c r="E3184" s="3"/>
      <c r="F3184" s="3"/>
      <c r="G3184" s="3"/>
      <c r="H3184" s="3"/>
      <c r="I3184" s="3"/>
      <c r="J3184" s="3"/>
      <c r="K3184" s="3"/>
      <c r="L3184" s="3"/>
      <c r="M3184" s="3"/>
      <c r="N3184" s="3"/>
    </row>
    <row r="3185" spans="1:14" ht="16.5" customHeight="1">
      <c r="A3185" s="3"/>
      <c r="B3185" s="3"/>
      <c r="C3185" s="3"/>
      <c r="D3185" s="3"/>
      <c r="E3185" s="3"/>
      <c r="F3185" s="3"/>
      <c r="G3185" s="3"/>
      <c r="H3185" s="3"/>
      <c r="I3185" s="3"/>
      <c r="J3185" s="3"/>
      <c r="K3185" s="3"/>
      <c r="L3185" s="3"/>
      <c r="M3185" s="3"/>
      <c r="N3185" s="3"/>
    </row>
    <row r="3186" spans="1:14" ht="16.5" customHeight="1">
      <c r="A3186" s="3"/>
      <c r="B3186" s="3"/>
      <c r="C3186" s="3"/>
      <c r="D3186" s="3"/>
      <c r="E3186" s="3"/>
      <c r="F3186" s="3"/>
      <c r="G3186" s="3"/>
      <c r="H3186" s="3"/>
      <c r="I3186" s="3"/>
      <c r="J3186" s="3"/>
      <c r="K3186" s="3"/>
      <c r="L3186" s="3"/>
      <c r="M3186" s="3"/>
      <c r="N3186" s="3"/>
    </row>
    <row r="3187" spans="1:14" ht="16.5" customHeight="1">
      <c r="A3187" s="3"/>
      <c r="B3187" s="3"/>
      <c r="C3187" s="3"/>
      <c r="D3187" s="3"/>
      <c r="E3187" s="3"/>
      <c r="F3187" s="3"/>
      <c r="G3187" s="3"/>
      <c r="H3187" s="3"/>
      <c r="I3187" s="3"/>
      <c r="J3187" s="3"/>
      <c r="K3187" s="3"/>
      <c r="L3187" s="3"/>
      <c r="M3187" s="3"/>
      <c r="N3187" s="3"/>
    </row>
    <row r="3188" spans="1:14" ht="16.5" customHeight="1">
      <c r="A3188" s="3"/>
      <c r="B3188" s="3"/>
      <c r="C3188" s="3"/>
      <c r="D3188" s="3"/>
      <c r="E3188" s="3"/>
      <c r="F3188" s="3"/>
      <c r="G3188" s="3"/>
      <c r="H3188" s="3"/>
      <c r="I3188" s="3"/>
      <c r="J3188" s="3"/>
      <c r="K3188" s="3"/>
      <c r="L3188" s="3"/>
      <c r="M3188" s="3"/>
      <c r="N3188" s="3"/>
    </row>
    <row r="3189" spans="1:14" ht="16.5" customHeight="1">
      <c r="A3189" s="3"/>
      <c r="B3189" s="3"/>
      <c r="C3189" s="3"/>
      <c r="D3189" s="3"/>
      <c r="E3189" s="3"/>
      <c r="F3189" s="3"/>
      <c r="G3189" s="3"/>
      <c r="H3189" s="3"/>
      <c r="I3189" s="3"/>
      <c r="J3189" s="3"/>
      <c r="K3189" s="3"/>
      <c r="L3189" s="3"/>
      <c r="M3189" s="3"/>
      <c r="N3189" s="3"/>
    </row>
    <row r="3190" spans="1:14" ht="16.5" customHeight="1">
      <c r="A3190" s="3"/>
      <c r="B3190" s="3"/>
      <c r="C3190" s="3"/>
      <c r="D3190" s="3"/>
      <c r="E3190" s="3"/>
      <c r="F3190" s="3"/>
      <c r="G3190" s="3"/>
      <c r="H3190" s="3"/>
      <c r="I3190" s="3"/>
      <c r="J3190" s="3"/>
      <c r="K3190" s="3"/>
      <c r="L3190" s="3"/>
      <c r="M3190" s="3"/>
      <c r="N3190" s="3"/>
    </row>
    <row r="3191" spans="1:14" ht="16.5" customHeight="1">
      <c r="A3191" s="3"/>
      <c r="B3191" s="3"/>
      <c r="C3191" s="3"/>
      <c r="D3191" s="3"/>
      <c r="E3191" s="3"/>
      <c r="F3191" s="3"/>
      <c r="G3191" s="3"/>
      <c r="H3191" s="3"/>
      <c r="I3191" s="3"/>
      <c r="J3191" s="3"/>
      <c r="K3191" s="3"/>
      <c r="L3191" s="3"/>
      <c r="M3191" s="3"/>
      <c r="N3191" s="3"/>
    </row>
    <row r="3192" spans="1:14" ht="16.5" customHeight="1">
      <c r="A3192" s="3"/>
      <c r="B3192" s="3"/>
      <c r="C3192" s="3"/>
      <c r="D3192" s="3"/>
      <c r="E3192" s="3"/>
      <c r="F3192" s="3"/>
      <c r="G3192" s="3"/>
      <c r="H3192" s="3"/>
      <c r="I3192" s="3"/>
      <c r="J3192" s="3"/>
      <c r="K3192" s="3"/>
      <c r="L3192" s="3"/>
      <c r="M3192" s="3"/>
      <c r="N3192" s="3"/>
    </row>
    <row r="3193" spans="1:14" ht="16.5" customHeight="1">
      <c r="A3193" s="3"/>
      <c r="B3193" s="3"/>
      <c r="C3193" s="3"/>
      <c r="D3193" s="3"/>
      <c r="E3193" s="3"/>
      <c r="F3193" s="3"/>
      <c r="G3193" s="3"/>
      <c r="H3193" s="3"/>
      <c r="I3193" s="3"/>
      <c r="J3193" s="3"/>
      <c r="K3193" s="3"/>
      <c r="L3193" s="3"/>
      <c r="M3193" s="3"/>
      <c r="N3193" s="3"/>
    </row>
    <row r="3194" spans="1:14" ht="16.5" customHeight="1">
      <c r="A3194" s="3"/>
      <c r="B3194" s="3"/>
      <c r="C3194" s="3"/>
      <c r="D3194" s="3"/>
      <c r="E3194" s="3"/>
      <c r="F3194" s="3"/>
      <c r="G3194" s="3"/>
      <c r="H3194" s="3"/>
      <c r="I3194" s="3"/>
      <c r="J3194" s="3"/>
      <c r="K3194" s="3"/>
      <c r="L3194" s="3"/>
      <c r="M3194" s="3"/>
      <c r="N3194" s="3"/>
    </row>
    <row r="3195" spans="1:14" ht="16.5" customHeight="1">
      <c r="A3195" s="3"/>
      <c r="B3195" s="3"/>
      <c r="C3195" s="3"/>
      <c r="D3195" s="3"/>
      <c r="E3195" s="3"/>
      <c r="F3195" s="3"/>
      <c r="G3195" s="3"/>
      <c r="H3195" s="3"/>
      <c r="I3195" s="3"/>
      <c r="J3195" s="3"/>
      <c r="K3195" s="3"/>
      <c r="L3195" s="3"/>
      <c r="M3195" s="3"/>
      <c r="N3195" s="3"/>
    </row>
    <row r="3196" spans="1:14" ht="16.5" customHeight="1">
      <c r="A3196" s="3"/>
      <c r="B3196" s="3"/>
      <c r="C3196" s="3"/>
      <c r="D3196" s="3"/>
      <c r="E3196" s="3"/>
      <c r="F3196" s="3"/>
      <c r="G3196" s="3"/>
      <c r="H3196" s="3"/>
      <c r="I3196" s="3"/>
      <c r="J3196" s="3"/>
      <c r="K3196" s="3"/>
      <c r="L3196" s="3"/>
      <c r="M3196" s="3"/>
      <c r="N3196" s="3"/>
    </row>
    <row r="3197" spans="1:14" ht="16.5" customHeight="1">
      <c r="A3197" s="3"/>
      <c r="B3197" s="3"/>
      <c r="C3197" s="3"/>
      <c r="D3197" s="3"/>
      <c r="E3197" s="3"/>
      <c r="F3197" s="3"/>
      <c r="G3197" s="3"/>
      <c r="H3197" s="3"/>
      <c r="I3197" s="3"/>
      <c r="J3197" s="3"/>
      <c r="K3197" s="3"/>
      <c r="L3197" s="3"/>
      <c r="M3197" s="3"/>
      <c r="N3197" s="3"/>
    </row>
    <row r="3198" spans="1:14" ht="16.5" customHeight="1">
      <c r="A3198" s="3"/>
      <c r="B3198" s="3"/>
      <c r="C3198" s="3"/>
      <c r="D3198" s="3"/>
      <c r="E3198" s="3"/>
      <c r="F3198" s="3"/>
      <c r="G3198" s="3"/>
      <c r="H3198" s="3"/>
      <c r="I3198" s="3"/>
      <c r="J3198" s="3"/>
      <c r="K3198" s="3"/>
      <c r="L3198" s="3"/>
      <c r="M3198" s="3"/>
      <c r="N3198" s="3"/>
    </row>
    <row r="3199" spans="1:14" ht="16.5" customHeight="1">
      <c r="A3199" s="3"/>
      <c r="B3199" s="3"/>
      <c r="C3199" s="3"/>
      <c r="D3199" s="3"/>
      <c r="E3199" s="3"/>
      <c r="F3199" s="3"/>
      <c r="G3199" s="3"/>
      <c r="H3199" s="3"/>
      <c r="I3199" s="3"/>
      <c r="J3199" s="3"/>
      <c r="K3199" s="3"/>
      <c r="L3199" s="3"/>
      <c r="M3199" s="3"/>
      <c r="N3199" s="3"/>
    </row>
    <row r="3200" spans="1:14" ht="16.5" customHeight="1">
      <c r="A3200" s="3"/>
      <c r="B3200" s="3"/>
      <c r="C3200" s="3"/>
      <c r="D3200" s="3"/>
      <c r="E3200" s="3"/>
      <c r="F3200" s="3"/>
      <c r="G3200" s="3"/>
      <c r="H3200" s="3"/>
      <c r="I3200" s="3"/>
      <c r="J3200" s="3"/>
      <c r="K3200" s="3"/>
      <c r="L3200" s="3"/>
      <c r="M3200" s="3"/>
      <c r="N3200" s="3"/>
    </row>
    <row r="3201" spans="1:14" ht="16.5" customHeight="1">
      <c r="A3201" s="3"/>
      <c r="B3201" s="3"/>
      <c r="C3201" s="3"/>
      <c r="D3201" s="3"/>
      <c r="E3201" s="3"/>
      <c r="F3201" s="3"/>
      <c r="G3201" s="3"/>
      <c r="H3201" s="3"/>
      <c r="I3201" s="3"/>
      <c r="J3201" s="3"/>
      <c r="K3201" s="3"/>
      <c r="L3201" s="3"/>
      <c r="M3201" s="3"/>
      <c r="N3201" s="3"/>
    </row>
    <row r="3202" spans="1:14" ht="16.5" customHeight="1">
      <c r="A3202" s="3"/>
      <c r="B3202" s="3"/>
      <c r="C3202" s="3"/>
      <c r="D3202" s="3"/>
      <c r="E3202" s="3"/>
      <c r="F3202" s="3"/>
      <c r="G3202" s="3"/>
      <c r="H3202" s="3"/>
      <c r="I3202" s="3"/>
      <c r="J3202" s="3"/>
      <c r="K3202" s="3"/>
      <c r="L3202" s="3"/>
      <c r="M3202" s="3"/>
      <c r="N3202" s="3"/>
    </row>
    <row r="3203" spans="1:14" ht="16.5" customHeight="1">
      <c r="A3203" s="3"/>
      <c r="B3203" s="3"/>
      <c r="C3203" s="3"/>
      <c r="D3203" s="3"/>
      <c r="E3203" s="3"/>
      <c r="F3203" s="3"/>
      <c r="G3203" s="3"/>
      <c r="H3203" s="3"/>
      <c r="I3203" s="3"/>
      <c r="J3203" s="3"/>
      <c r="K3203" s="3"/>
      <c r="L3203" s="3"/>
      <c r="M3203" s="3"/>
      <c r="N3203" s="3"/>
    </row>
    <row r="3204" spans="1:14" ht="16.5" customHeight="1">
      <c r="A3204" s="3"/>
      <c r="B3204" s="3"/>
      <c r="C3204" s="3"/>
      <c r="D3204" s="3"/>
      <c r="E3204" s="3"/>
      <c r="F3204" s="3"/>
      <c r="G3204" s="3"/>
      <c r="H3204" s="3"/>
      <c r="I3204" s="3"/>
      <c r="J3204" s="3"/>
      <c r="K3204" s="3"/>
      <c r="L3204" s="3"/>
      <c r="M3204" s="3"/>
      <c r="N3204" s="3"/>
    </row>
    <row r="3205" spans="1:14" ht="16.5" customHeight="1">
      <c r="A3205" s="3"/>
      <c r="B3205" s="3"/>
      <c r="C3205" s="3"/>
      <c r="D3205" s="3"/>
      <c r="E3205" s="3"/>
      <c r="F3205" s="3"/>
      <c r="G3205" s="3"/>
      <c r="H3205" s="3"/>
      <c r="I3205" s="3"/>
      <c r="J3205" s="3"/>
      <c r="K3205" s="3"/>
      <c r="L3205" s="3"/>
      <c r="M3205" s="3"/>
      <c r="N3205" s="3"/>
    </row>
    <row r="3206" spans="1:14" ht="16.5" customHeight="1">
      <c r="A3206" s="3"/>
      <c r="B3206" s="3"/>
      <c r="C3206" s="3"/>
      <c r="D3206" s="3"/>
      <c r="E3206" s="3"/>
      <c r="F3206" s="3"/>
      <c r="G3206" s="3"/>
      <c r="H3206" s="3"/>
      <c r="I3206" s="3"/>
      <c r="J3206" s="3"/>
      <c r="K3206" s="3"/>
      <c r="L3206" s="3"/>
      <c r="M3206" s="3"/>
      <c r="N3206" s="3"/>
    </row>
    <row r="3207" spans="1:14" ht="16.5" customHeight="1">
      <c r="A3207" s="3"/>
      <c r="B3207" s="3"/>
      <c r="C3207" s="3"/>
      <c r="D3207" s="3"/>
      <c r="E3207" s="3"/>
      <c r="F3207" s="3"/>
      <c r="G3207" s="3"/>
      <c r="H3207" s="3"/>
      <c r="I3207" s="3"/>
      <c r="J3207" s="3"/>
      <c r="K3207" s="3"/>
      <c r="L3207" s="3"/>
      <c r="M3207" s="3"/>
      <c r="N3207" s="3"/>
    </row>
    <row r="3208" spans="1:14" ht="16.5" customHeight="1">
      <c r="A3208" s="3"/>
      <c r="B3208" s="3"/>
      <c r="C3208" s="3"/>
      <c r="D3208" s="3"/>
      <c r="E3208" s="3"/>
      <c r="F3208" s="3"/>
      <c r="G3208" s="3"/>
      <c r="H3208" s="3"/>
      <c r="I3208" s="3"/>
      <c r="J3208" s="3"/>
      <c r="K3208" s="3"/>
      <c r="L3208" s="3"/>
      <c r="M3208" s="3"/>
      <c r="N3208" s="3"/>
    </row>
    <row r="3209" spans="1:14" ht="16.5" customHeight="1">
      <c r="A3209" s="3"/>
      <c r="B3209" s="3"/>
      <c r="C3209" s="3"/>
      <c r="D3209" s="3"/>
      <c r="E3209" s="3"/>
      <c r="F3209" s="3"/>
      <c r="G3209" s="3"/>
      <c r="H3209" s="3"/>
      <c r="I3209" s="3"/>
      <c r="J3209" s="3"/>
      <c r="K3209" s="3"/>
      <c r="L3209" s="3"/>
      <c r="M3209" s="3"/>
      <c r="N3209" s="3"/>
    </row>
    <row r="3210" spans="1:14" ht="16.5" customHeight="1">
      <c r="A3210" s="3"/>
      <c r="B3210" s="3"/>
      <c r="C3210" s="3"/>
      <c r="D3210" s="3"/>
      <c r="E3210" s="3"/>
      <c r="F3210" s="3"/>
      <c r="G3210" s="3"/>
      <c r="H3210" s="3"/>
      <c r="I3210" s="3"/>
      <c r="J3210" s="3"/>
      <c r="K3210" s="3"/>
      <c r="L3210" s="3"/>
      <c r="M3210" s="3"/>
      <c r="N3210" s="3"/>
    </row>
    <row r="3211" spans="1:14" ht="16.5" customHeight="1">
      <c r="A3211" s="3"/>
      <c r="B3211" s="3"/>
      <c r="C3211" s="3"/>
      <c r="D3211" s="3"/>
      <c r="E3211" s="3"/>
      <c r="F3211" s="3"/>
      <c r="G3211" s="3"/>
      <c r="H3211" s="3"/>
      <c r="I3211" s="3"/>
      <c r="J3211" s="3"/>
      <c r="K3211" s="3"/>
      <c r="L3211" s="3"/>
      <c r="M3211" s="3"/>
      <c r="N3211" s="3"/>
    </row>
    <row r="3212" spans="1:14" ht="16.5" customHeight="1">
      <c r="A3212" s="3"/>
      <c r="B3212" s="3"/>
      <c r="C3212" s="3"/>
      <c r="D3212" s="3"/>
      <c r="E3212" s="3"/>
      <c r="F3212" s="3"/>
      <c r="G3212" s="3"/>
      <c r="H3212" s="3"/>
      <c r="I3212" s="3"/>
      <c r="J3212" s="3"/>
      <c r="K3212" s="3"/>
      <c r="L3212" s="3"/>
      <c r="M3212" s="3"/>
      <c r="N3212" s="3"/>
    </row>
    <row r="3213" spans="1:14" ht="16.5" customHeight="1">
      <c r="A3213" s="3"/>
      <c r="B3213" s="3"/>
      <c r="C3213" s="3"/>
      <c r="D3213" s="3"/>
      <c r="E3213" s="3"/>
      <c r="F3213" s="3"/>
      <c r="G3213" s="3"/>
      <c r="H3213" s="3"/>
      <c r="I3213" s="3"/>
      <c r="J3213" s="3"/>
      <c r="K3213" s="3"/>
      <c r="L3213" s="3"/>
      <c r="M3213" s="3"/>
      <c r="N3213" s="3"/>
    </row>
    <row r="3214" spans="1:14" ht="16.5" customHeight="1">
      <c r="A3214" s="3"/>
      <c r="B3214" s="3"/>
      <c r="C3214" s="3"/>
      <c r="D3214" s="3"/>
      <c r="E3214" s="3"/>
      <c r="F3214" s="3"/>
      <c r="G3214" s="3"/>
      <c r="H3214" s="3"/>
      <c r="I3214" s="3"/>
      <c r="J3214" s="3"/>
      <c r="K3214" s="3"/>
      <c r="L3214" s="3"/>
      <c r="M3214" s="3"/>
      <c r="N3214" s="3"/>
    </row>
    <row r="3215" spans="1:14" ht="16.5" customHeight="1">
      <c r="A3215" s="3"/>
      <c r="B3215" s="3"/>
      <c r="C3215" s="3"/>
      <c r="D3215" s="3"/>
      <c r="E3215" s="3"/>
      <c r="F3215" s="3"/>
      <c r="G3215" s="3"/>
      <c r="H3215" s="3"/>
      <c r="I3215" s="3"/>
      <c r="J3215" s="3"/>
      <c r="K3215" s="3"/>
      <c r="L3215" s="3"/>
      <c r="M3215" s="3"/>
      <c r="N3215" s="3"/>
    </row>
    <row r="3216" spans="1:14" ht="16.5" customHeight="1">
      <c r="A3216" s="3"/>
      <c r="B3216" s="3"/>
      <c r="C3216" s="3"/>
      <c r="D3216" s="3"/>
      <c r="E3216" s="3"/>
      <c r="F3216" s="3"/>
      <c r="G3216" s="3"/>
      <c r="H3216" s="3"/>
      <c r="I3216" s="3"/>
      <c r="J3216" s="3"/>
      <c r="K3216" s="3"/>
      <c r="L3216" s="3"/>
      <c r="M3216" s="3"/>
      <c r="N3216" s="3"/>
    </row>
    <row r="3217" spans="1:14" ht="16.5" customHeight="1">
      <c r="A3217" s="3"/>
      <c r="B3217" s="3"/>
      <c r="C3217" s="3"/>
      <c r="D3217" s="3"/>
      <c r="E3217" s="3"/>
      <c r="F3217" s="3"/>
      <c r="G3217" s="3"/>
      <c r="H3217" s="3"/>
      <c r="I3217" s="3"/>
      <c r="J3217" s="3"/>
      <c r="K3217" s="3"/>
      <c r="L3217" s="3"/>
      <c r="M3217" s="3"/>
      <c r="N3217" s="3"/>
    </row>
    <row r="3218" spans="1:14" ht="16.5" customHeight="1">
      <c r="A3218" s="3"/>
      <c r="B3218" s="3"/>
      <c r="C3218" s="3"/>
      <c r="D3218" s="3"/>
      <c r="E3218" s="3"/>
      <c r="F3218" s="3"/>
      <c r="G3218" s="3"/>
      <c r="H3218" s="3"/>
      <c r="I3218" s="3"/>
      <c r="J3218" s="3"/>
      <c r="K3218" s="3"/>
      <c r="L3218" s="3"/>
      <c r="M3218" s="3"/>
      <c r="N3218" s="3"/>
    </row>
    <row r="3219" spans="1:14" ht="16.5" customHeight="1">
      <c r="A3219" s="3"/>
      <c r="B3219" s="3"/>
      <c r="C3219" s="3"/>
      <c r="D3219" s="3"/>
      <c r="E3219" s="3"/>
      <c r="F3219" s="3"/>
      <c r="G3219" s="3"/>
      <c r="H3219" s="3"/>
      <c r="I3219" s="3"/>
      <c r="J3219" s="3"/>
      <c r="K3219" s="3"/>
      <c r="L3219" s="3"/>
      <c r="M3219" s="3"/>
      <c r="N3219" s="3"/>
    </row>
    <row r="3220" spans="1:14" ht="16.5" customHeight="1">
      <c r="A3220" s="3"/>
      <c r="B3220" s="3"/>
      <c r="C3220" s="3"/>
      <c r="D3220" s="3"/>
      <c r="E3220" s="3"/>
      <c r="F3220" s="3"/>
      <c r="G3220" s="3"/>
      <c r="H3220" s="3"/>
      <c r="I3220" s="3"/>
      <c r="J3220" s="3"/>
      <c r="K3220" s="3"/>
      <c r="L3220" s="3"/>
      <c r="M3220" s="3"/>
      <c r="N3220" s="3"/>
    </row>
    <row r="3221" spans="1:14" ht="16.5" customHeight="1">
      <c r="A3221" s="3"/>
      <c r="B3221" s="3"/>
      <c r="C3221" s="3"/>
      <c r="D3221" s="3"/>
      <c r="E3221" s="3"/>
      <c r="F3221" s="3"/>
      <c r="G3221" s="3"/>
      <c r="H3221" s="3"/>
      <c r="I3221" s="3"/>
      <c r="J3221" s="3"/>
      <c r="K3221" s="3"/>
      <c r="L3221" s="3"/>
      <c r="M3221" s="3"/>
      <c r="N3221" s="3"/>
    </row>
    <row r="3222" spans="1:14" ht="16.5" customHeight="1">
      <c r="A3222" s="3"/>
      <c r="B3222" s="3"/>
      <c r="C3222" s="3"/>
      <c r="D3222" s="3"/>
      <c r="E3222" s="3"/>
      <c r="F3222" s="3"/>
      <c r="G3222" s="3"/>
      <c r="H3222" s="3"/>
      <c r="I3222" s="3"/>
      <c r="J3222" s="3"/>
      <c r="K3222" s="3"/>
      <c r="L3222" s="3"/>
      <c r="M3222" s="3"/>
      <c r="N3222" s="3"/>
    </row>
    <row r="3223" spans="1:14" ht="16.5" customHeight="1">
      <c r="A3223" s="3"/>
      <c r="B3223" s="3"/>
      <c r="C3223" s="3"/>
      <c r="D3223" s="3"/>
      <c r="E3223" s="3"/>
      <c r="F3223" s="3"/>
      <c r="G3223" s="3"/>
      <c r="H3223" s="3"/>
      <c r="I3223" s="3"/>
      <c r="J3223" s="3"/>
      <c r="K3223" s="3"/>
      <c r="L3223" s="3"/>
      <c r="M3223" s="3"/>
      <c r="N3223" s="3"/>
    </row>
    <row r="3224" spans="1:14" ht="16.5" customHeight="1">
      <c r="A3224" s="3"/>
      <c r="B3224" s="3"/>
      <c r="C3224" s="3"/>
      <c r="D3224" s="3"/>
      <c r="E3224" s="3"/>
      <c r="F3224" s="3"/>
      <c r="G3224" s="3"/>
      <c r="H3224" s="3"/>
      <c r="I3224" s="3"/>
      <c r="J3224" s="3"/>
      <c r="K3224" s="3"/>
      <c r="L3224" s="3"/>
      <c r="M3224" s="3"/>
      <c r="N3224" s="3"/>
    </row>
    <row r="3225" spans="1:14" ht="16.5" customHeight="1">
      <c r="A3225" s="3"/>
      <c r="B3225" s="3"/>
      <c r="C3225" s="3"/>
      <c r="D3225" s="3"/>
      <c r="E3225" s="3"/>
      <c r="F3225" s="3"/>
      <c r="G3225" s="3"/>
      <c r="H3225" s="3"/>
      <c r="I3225" s="3"/>
      <c r="J3225" s="3"/>
      <c r="K3225" s="3"/>
      <c r="L3225" s="3"/>
      <c r="M3225" s="3"/>
      <c r="N3225" s="3"/>
    </row>
    <row r="3226" spans="1:14" ht="16.5" customHeight="1">
      <c r="A3226" s="3"/>
      <c r="B3226" s="3"/>
      <c r="C3226" s="3"/>
      <c r="D3226" s="3"/>
      <c r="E3226" s="3"/>
      <c r="F3226" s="3"/>
      <c r="G3226" s="3"/>
      <c r="H3226" s="3"/>
      <c r="I3226" s="3"/>
      <c r="J3226" s="3"/>
      <c r="K3226" s="3"/>
      <c r="L3226" s="3"/>
      <c r="M3226" s="3"/>
      <c r="N3226" s="3"/>
    </row>
    <row r="3227" spans="1:14" ht="16.5" customHeight="1">
      <c r="A3227" s="3"/>
      <c r="B3227" s="3"/>
      <c r="C3227" s="3"/>
      <c r="D3227" s="3"/>
      <c r="E3227" s="3"/>
      <c r="F3227" s="3"/>
      <c r="G3227" s="3"/>
      <c r="H3227" s="3"/>
      <c r="I3227" s="3"/>
      <c r="J3227" s="3"/>
      <c r="K3227" s="3"/>
      <c r="L3227" s="3"/>
      <c r="M3227" s="3"/>
      <c r="N3227" s="3"/>
    </row>
    <row r="3228" spans="1:14" ht="16.5" customHeight="1">
      <c r="A3228" s="3"/>
      <c r="B3228" s="3"/>
      <c r="C3228" s="3"/>
      <c r="D3228" s="3"/>
      <c r="E3228" s="3"/>
      <c r="F3228" s="3"/>
      <c r="G3228" s="3"/>
      <c r="H3228" s="3"/>
      <c r="I3228" s="3"/>
      <c r="J3228" s="3"/>
      <c r="K3228" s="3"/>
      <c r="L3228" s="3"/>
      <c r="M3228" s="3"/>
      <c r="N3228" s="3"/>
    </row>
    <row r="3229" spans="1:14" ht="16.5" customHeight="1">
      <c r="A3229" s="3"/>
      <c r="B3229" s="3"/>
      <c r="C3229" s="3"/>
      <c r="D3229" s="3"/>
      <c r="E3229" s="3"/>
      <c r="F3229" s="3"/>
      <c r="G3229" s="3"/>
      <c r="H3229" s="3"/>
      <c r="I3229" s="3"/>
      <c r="J3229" s="3"/>
      <c r="K3229" s="3"/>
      <c r="L3229" s="3"/>
      <c r="M3229" s="3"/>
      <c r="N3229" s="3"/>
    </row>
    <row r="3230" spans="1:14" ht="16.5" customHeight="1">
      <c r="A3230" s="3"/>
      <c r="B3230" s="3"/>
      <c r="C3230" s="3"/>
      <c r="D3230" s="3"/>
      <c r="E3230" s="3"/>
      <c r="F3230" s="3"/>
      <c r="G3230" s="3"/>
      <c r="H3230" s="3"/>
      <c r="I3230" s="3"/>
      <c r="J3230" s="3"/>
      <c r="K3230" s="3"/>
      <c r="L3230" s="3"/>
      <c r="M3230" s="3"/>
      <c r="N3230" s="3"/>
    </row>
    <row r="3231" spans="1:14" ht="16.5" customHeight="1">
      <c r="A3231" s="3"/>
      <c r="B3231" s="3"/>
      <c r="C3231" s="3"/>
      <c r="D3231" s="3"/>
      <c r="E3231" s="3"/>
      <c r="F3231" s="3"/>
      <c r="G3231" s="3"/>
      <c r="H3231" s="3"/>
      <c r="I3231" s="3"/>
      <c r="J3231" s="3"/>
      <c r="K3231" s="3"/>
      <c r="L3231" s="3"/>
      <c r="M3231" s="3"/>
      <c r="N3231" s="3"/>
    </row>
    <row r="3232" spans="1:14" ht="16.5" customHeight="1">
      <c r="A3232" s="3"/>
      <c r="B3232" s="3"/>
      <c r="C3232" s="3"/>
      <c r="D3232" s="3"/>
      <c r="E3232" s="3"/>
      <c r="F3232" s="3"/>
      <c r="G3232" s="3"/>
      <c r="H3232" s="3"/>
      <c r="I3232" s="3"/>
      <c r="J3232" s="3"/>
      <c r="K3232" s="3"/>
      <c r="L3232" s="3"/>
      <c r="M3232" s="3"/>
      <c r="N3232" s="3"/>
    </row>
    <row r="3233" spans="1:14" ht="16.5" customHeight="1">
      <c r="A3233" s="3"/>
      <c r="B3233" s="3"/>
      <c r="C3233" s="3"/>
      <c r="D3233" s="3"/>
      <c r="E3233" s="3"/>
      <c r="F3233" s="3"/>
      <c r="G3233" s="3"/>
      <c r="H3233" s="3"/>
      <c r="I3233" s="3"/>
      <c r="J3233" s="3"/>
      <c r="K3233" s="3"/>
      <c r="L3233" s="3"/>
      <c r="M3233" s="3"/>
      <c r="N3233" s="3"/>
    </row>
    <row r="3234" spans="1:14" ht="16.5" customHeight="1">
      <c r="A3234" s="3"/>
      <c r="B3234" s="3"/>
      <c r="C3234" s="3"/>
      <c r="D3234" s="3"/>
      <c r="E3234" s="3"/>
      <c r="F3234" s="3"/>
      <c r="G3234" s="3"/>
      <c r="H3234" s="3"/>
      <c r="I3234" s="3"/>
      <c r="J3234" s="3"/>
      <c r="K3234" s="3"/>
      <c r="L3234" s="3"/>
      <c r="M3234" s="3"/>
      <c r="N3234" s="3"/>
    </row>
    <row r="3235" spans="1:14" ht="16.5" customHeight="1">
      <c r="A3235" s="3"/>
      <c r="B3235" s="3"/>
      <c r="C3235" s="3"/>
      <c r="D3235" s="3"/>
      <c r="E3235" s="3"/>
      <c r="F3235" s="3"/>
      <c r="G3235" s="3"/>
      <c r="H3235" s="3"/>
      <c r="I3235" s="3"/>
      <c r="J3235" s="3"/>
      <c r="K3235" s="3"/>
      <c r="L3235" s="3"/>
      <c r="M3235" s="3"/>
      <c r="N3235" s="3"/>
    </row>
    <row r="3236" spans="1:14" ht="16.5" customHeight="1">
      <c r="A3236" s="3"/>
      <c r="B3236" s="3"/>
      <c r="C3236" s="3"/>
      <c r="D3236" s="3"/>
      <c r="E3236" s="3"/>
      <c r="F3236" s="3"/>
      <c r="G3236" s="3"/>
      <c r="H3236" s="3"/>
      <c r="I3236" s="3"/>
      <c r="J3236" s="3"/>
      <c r="K3236" s="3"/>
      <c r="L3236" s="3"/>
      <c r="M3236" s="3"/>
      <c r="N3236" s="3"/>
    </row>
    <row r="3237" spans="1:14" ht="16.5" customHeight="1">
      <c r="A3237" s="3"/>
      <c r="B3237" s="3"/>
      <c r="C3237" s="3"/>
      <c r="D3237" s="3"/>
      <c r="E3237" s="3"/>
      <c r="F3237" s="3"/>
      <c r="G3237" s="3"/>
      <c r="H3237" s="3"/>
      <c r="I3237" s="3"/>
      <c r="J3237" s="3"/>
      <c r="K3237" s="3"/>
      <c r="L3237" s="3"/>
      <c r="M3237" s="3"/>
      <c r="N3237" s="3"/>
    </row>
    <row r="3238" spans="1:14" ht="16.5" customHeight="1">
      <c r="A3238" s="3"/>
      <c r="B3238" s="3"/>
      <c r="C3238" s="3"/>
      <c r="D3238" s="3"/>
      <c r="E3238" s="3"/>
      <c r="F3238" s="3"/>
      <c r="G3238" s="3"/>
      <c r="H3238" s="3"/>
      <c r="I3238" s="3"/>
      <c r="J3238" s="3"/>
      <c r="K3238" s="3"/>
      <c r="L3238" s="3"/>
      <c r="M3238" s="3"/>
      <c r="N3238" s="3"/>
    </row>
    <row r="3239" spans="1:14" ht="16.5" customHeight="1">
      <c r="A3239" s="3"/>
      <c r="B3239" s="3"/>
      <c r="C3239" s="3"/>
      <c r="D3239" s="3"/>
      <c r="E3239" s="3"/>
      <c r="F3239" s="3"/>
      <c r="G3239" s="3"/>
      <c r="H3239" s="3"/>
      <c r="I3239" s="3"/>
      <c r="J3239" s="3"/>
      <c r="K3239" s="3"/>
      <c r="L3239" s="3"/>
      <c r="M3239" s="3"/>
      <c r="N3239" s="3"/>
    </row>
    <row r="3240" spans="1:14" ht="16.5" customHeight="1">
      <c r="A3240" s="3"/>
      <c r="B3240" s="3"/>
      <c r="C3240" s="3"/>
      <c r="D3240" s="3"/>
      <c r="E3240" s="3"/>
      <c r="F3240" s="3"/>
      <c r="G3240" s="3"/>
      <c r="H3240" s="3"/>
      <c r="I3240" s="3"/>
      <c r="J3240" s="3"/>
      <c r="K3240" s="3"/>
      <c r="L3240" s="3"/>
      <c r="M3240" s="3"/>
      <c r="N3240" s="3"/>
    </row>
    <row r="3241" spans="1:14" ht="16.5" customHeight="1">
      <c r="A3241" s="3"/>
      <c r="B3241" s="3"/>
      <c r="C3241" s="3"/>
      <c r="D3241" s="3"/>
      <c r="E3241" s="3"/>
      <c r="F3241" s="3"/>
      <c r="G3241" s="3"/>
      <c r="H3241" s="3"/>
      <c r="I3241" s="3"/>
      <c r="J3241" s="3"/>
      <c r="K3241" s="3"/>
      <c r="L3241" s="3"/>
      <c r="M3241" s="3"/>
      <c r="N3241" s="3"/>
    </row>
    <row r="3242" spans="1:14" ht="16.5" customHeight="1">
      <c r="A3242" s="3"/>
      <c r="B3242" s="3"/>
      <c r="C3242" s="3"/>
      <c r="D3242" s="3"/>
      <c r="E3242" s="3"/>
      <c r="F3242" s="3"/>
      <c r="G3242" s="3"/>
      <c r="H3242" s="3"/>
      <c r="I3242" s="3"/>
      <c r="J3242" s="3"/>
      <c r="K3242" s="3"/>
      <c r="L3242" s="3"/>
      <c r="M3242" s="3"/>
      <c r="N3242" s="3"/>
    </row>
    <row r="3243" spans="1:14" ht="16.5" customHeight="1">
      <c r="A3243" s="3"/>
      <c r="B3243" s="3"/>
      <c r="C3243" s="3"/>
      <c r="D3243" s="3"/>
      <c r="E3243" s="3"/>
      <c r="F3243" s="3"/>
      <c r="G3243" s="3"/>
      <c r="H3243" s="3"/>
      <c r="I3243" s="3"/>
      <c r="J3243" s="3"/>
      <c r="K3243" s="3"/>
      <c r="L3243" s="3"/>
      <c r="M3243" s="3"/>
      <c r="N3243" s="3"/>
    </row>
    <row r="3244" spans="1:14" ht="16.5" customHeight="1">
      <c r="A3244" s="3"/>
      <c r="B3244" s="3"/>
      <c r="C3244" s="3"/>
      <c r="D3244" s="3"/>
      <c r="E3244" s="3"/>
      <c r="F3244" s="3"/>
      <c r="G3244" s="3"/>
      <c r="H3244" s="3"/>
      <c r="I3244" s="3"/>
      <c r="J3244" s="3"/>
      <c r="K3244" s="3"/>
      <c r="L3244" s="3"/>
      <c r="M3244" s="3"/>
      <c r="N3244" s="3"/>
    </row>
    <row r="3245" spans="1:14" ht="16.5" customHeight="1">
      <c r="A3245" s="3"/>
      <c r="B3245" s="3"/>
      <c r="C3245" s="3"/>
      <c r="D3245" s="3"/>
      <c r="E3245" s="3"/>
      <c r="F3245" s="3"/>
      <c r="G3245" s="3"/>
      <c r="H3245" s="3"/>
      <c r="I3245" s="3"/>
      <c r="J3245" s="3"/>
      <c r="K3245" s="3"/>
      <c r="L3245" s="3"/>
      <c r="M3245" s="3"/>
      <c r="N3245" s="3"/>
    </row>
    <row r="3246" spans="1:14" ht="16.5" customHeight="1">
      <c r="A3246" s="3"/>
      <c r="B3246" s="3"/>
      <c r="C3246" s="3"/>
      <c r="D3246" s="3"/>
      <c r="E3246" s="3"/>
      <c r="F3246" s="3"/>
      <c r="G3246" s="3"/>
      <c r="H3246" s="3"/>
      <c r="I3246" s="3"/>
      <c r="J3246" s="3"/>
      <c r="K3246" s="3"/>
      <c r="L3246" s="3"/>
      <c r="M3246" s="3"/>
      <c r="N3246" s="3"/>
    </row>
    <row r="3247" spans="1:14" ht="16.5" customHeight="1">
      <c r="A3247" s="3"/>
      <c r="B3247" s="3"/>
      <c r="C3247" s="3"/>
      <c r="D3247" s="3"/>
      <c r="E3247" s="3"/>
      <c r="F3247" s="3"/>
      <c r="G3247" s="3"/>
      <c r="H3247" s="3"/>
      <c r="I3247" s="3"/>
      <c r="J3247" s="3"/>
      <c r="K3247" s="3"/>
      <c r="L3247" s="3"/>
      <c r="M3247" s="3"/>
      <c r="N3247" s="3"/>
    </row>
    <row r="3248" spans="1:14" ht="16.5" customHeight="1">
      <c r="A3248" s="3"/>
      <c r="B3248" s="3"/>
      <c r="C3248" s="3"/>
      <c r="D3248" s="3"/>
      <c r="E3248" s="3"/>
      <c r="F3248" s="3"/>
      <c r="G3248" s="3"/>
      <c r="H3248" s="3"/>
      <c r="I3248" s="3"/>
      <c r="J3248" s="3"/>
      <c r="K3248" s="3"/>
      <c r="L3248" s="3"/>
      <c r="M3248" s="3"/>
      <c r="N3248" s="3"/>
    </row>
    <row r="3249" spans="1:14" ht="16.5" customHeight="1">
      <c r="A3249" s="3"/>
      <c r="B3249" s="3"/>
      <c r="C3249" s="3"/>
      <c r="D3249" s="3"/>
      <c r="E3249" s="3"/>
      <c r="F3249" s="3"/>
      <c r="G3249" s="3"/>
      <c r="H3249" s="3"/>
      <c r="I3249" s="3"/>
      <c r="J3249" s="3"/>
      <c r="K3249" s="3"/>
      <c r="L3249" s="3"/>
      <c r="M3249" s="3"/>
      <c r="N3249" s="3"/>
    </row>
    <row r="3250" spans="1:14" ht="16.5" customHeight="1">
      <c r="A3250" s="3"/>
      <c r="B3250" s="3"/>
      <c r="C3250" s="3"/>
      <c r="D3250" s="3"/>
      <c r="E3250" s="3"/>
      <c r="F3250" s="3"/>
      <c r="G3250" s="3"/>
      <c r="H3250" s="3"/>
      <c r="I3250" s="3"/>
      <c r="J3250" s="3"/>
      <c r="K3250" s="3"/>
      <c r="L3250" s="3"/>
      <c r="M3250" s="3"/>
      <c r="N3250" s="3"/>
    </row>
    <row r="3251" spans="1:14" ht="16.5" customHeight="1">
      <c r="A3251" s="3"/>
      <c r="B3251" s="3"/>
      <c r="C3251" s="3"/>
      <c r="D3251" s="3"/>
      <c r="E3251" s="3"/>
      <c r="F3251" s="3"/>
      <c r="G3251" s="3"/>
      <c r="H3251" s="3"/>
      <c r="I3251" s="3"/>
      <c r="J3251" s="3"/>
      <c r="K3251" s="3"/>
      <c r="L3251" s="3"/>
      <c r="M3251" s="3"/>
      <c r="N3251" s="3"/>
    </row>
    <row r="3252" spans="1:14" ht="16.5" customHeight="1">
      <c r="A3252" s="3"/>
      <c r="B3252" s="3"/>
      <c r="C3252" s="3"/>
      <c r="D3252" s="3"/>
      <c r="E3252" s="3"/>
      <c r="F3252" s="3"/>
      <c r="G3252" s="3"/>
      <c r="H3252" s="3"/>
      <c r="I3252" s="3"/>
      <c r="J3252" s="3"/>
      <c r="K3252" s="3"/>
      <c r="L3252" s="3"/>
      <c r="M3252" s="3"/>
      <c r="N3252" s="3"/>
    </row>
    <row r="3253" spans="1:14" ht="16.5" customHeight="1">
      <c r="A3253" s="3"/>
      <c r="B3253" s="3"/>
      <c r="C3253" s="3"/>
      <c r="D3253" s="3"/>
      <c r="E3253" s="3"/>
      <c r="F3253" s="3"/>
      <c r="G3253" s="3"/>
      <c r="H3253" s="3"/>
      <c r="I3253" s="3"/>
      <c r="J3253" s="3"/>
      <c r="K3253" s="3"/>
      <c r="L3253" s="3"/>
      <c r="M3253" s="3"/>
      <c r="N3253" s="3"/>
    </row>
    <row r="3254" spans="1:14" ht="16.5" customHeight="1">
      <c r="A3254" s="3"/>
      <c r="B3254" s="3"/>
      <c r="C3254" s="3"/>
      <c r="D3254" s="3"/>
      <c r="E3254" s="3"/>
      <c r="F3254" s="3"/>
      <c r="G3254" s="3"/>
      <c r="H3254" s="3"/>
      <c r="I3254" s="3"/>
      <c r="J3254" s="3"/>
      <c r="K3254" s="3"/>
      <c r="L3254" s="3"/>
      <c r="M3254" s="3"/>
      <c r="N3254" s="3"/>
    </row>
    <row r="3255" spans="1:14" ht="16.5" customHeight="1">
      <c r="A3255" s="3"/>
      <c r="B3255" s="3"/>
      <c r="C3255" s="3"/>
      <c r="D3255" s="3"/>
      <c r="E3255" s="3"/>
      <c r="F3255" s="3"/>
      <c r="G3255" s="3"/>
      <c r="H3255" s="3"/>
      <c r="I3255" s="3"/>
      <c r="J3255" s="3"/>
      <c r="K3255" s="3"/>
      <c r="L3255" s="3"/>
      <c r="M3255" s="3"/>
      <c r="N3255" s="3"/>
    </row>
    <row r="3256" spans="1:14" ht="16.5" customHeight="1">
      <c r="A3256" s="3"/>
      <c r="B3256" s="3"/>
      <c r="C3256" s="3"/>
      <c r="D3256" s="3"/>
      <c r="E3256" s="3"/>
      <c r="F3256" s="3"/>
      <c r="G3256" s="3"/>
      <c r="H3256" s="3"/>
      <c r="I3256" s="3"/>
      <c r="J3256" s="3"/>
      <c r="K3256" s="3"/>
      <c r="L3256" s="3"/>
      <c r="M3256" s="3"/>
      <c r="N3256" s="3"/>
    </row>
    <row r="3257" spans="1:14" ht="16.5" customHeight="1">
      <c r="A3257" s="3"/>
      <c r="B3257" s="3"/>
      <c r="C3257" s="3"/>
      <c r="D3257" s="3"/>
      <c r="E3257" s="3"/>
      <c r="F3257" s="3"/>
      <c r="G3257" s="3"/>
      <c r="H3257" s="3"/>
      <c r="I3257" s="3"/>
      <c r="J3257" s="3"/>
      <c r="K3257" s="3"/>
      <c r="L3257" s="3"/>
      <c r="M3257" s="3"/>
      <c r="N3257" s="3"/>
    </row>
    <row r="3258" spans="1:14" ht="16.5" customHeight="1">
      <c r="A3258" s="3"/>
      <c r="B3258" s="3"/>
      <c r="C3258" s="3"/>
      <c r="D3258" s="3"/>
      <c r="E3258" s="3"/>
      <c r="F3258" s="3"/>
      <c r="G3258" s="3"/>
      <c r="H3258" s="3"/>
      <c r="I3258" s="3"/>
      <c r="J3258" s="3"/>
      <c r="K3258" s="3"/>
      <c r="L3258" s="3"/>
      <c r="M3258" s="3"/>
      <c r="N3258" s="3"/>
    </row>
    <row r="3259" spans="1:14" ht="16.5" customHeight="1">
      <c r="A3259" s="3"/>
      <c r="B3259" s="3"/>
      <c r="C3259" s="3"/>
      <c r="D3259" s="3"/>
      <c r="E3259" s="3"/>
      <c r="F3259" s="3"/>
      <c r="G3259" s="3"/>
      <c r="H3259" s="3"/>
      <c r="I3259" s="3"/>
      <c r="J3259" s="3"/>
      <c r="K3259" s="3"/>
      <c r="L3259" s="3"/>
      <c r="M3259" s="3"/>
      <c r="N3259" s="3"/>
    </row>
    <row r="3260" spans="1:14" ht="16.5" customHeight="1">
      <c r="A3260" s="3"/>
      <c r="B3260" s="3"/>
      <c r="C3260" s="3"/>
      <c r="D3260" s="3"/>
      <c r="E3260" s="3"/>
      <c r="F3260" s="3"/>
      <c r="G3260" s="3"/>
      <c r="H3260" s="3"/>
      <c r="I3260" s="3"/>
      <c r="J3260" s="3"/>
      <c r="K3260" s="3"/>
      <c r="L3260" s="3"/>
      <c r="M3260" s="3"/>
      <c r="N3260" s="3"/>
    </row>
    <row r="3261" spans="1:14" ht="16.5" customHeight="1">
      <c r="A3261" s="3"/>
      <c r="B3261" s="3"/>
      <c r="C3261" s="3"/>
      <c r="D3261" s="3"/>
      <c r="E3261" s="3"/>
      <c r="F3261" s="3"/>
      <c r="G3261" s="3"/>
      <c r="H3261" s="3"/>
      <c r="I3261" s="3"/>
      <c r="J3261" s="3"/>
      <c r="K3261" s="3"/>
      <c r="L3261" s="3"/>
      <c r="M3261" s="3"/>
      <c r="N3261" s="3"/>
    </row>
    <row r="3262" spans="1:14" ht="16.5" customHeight="1">
      <c r="A3262" s="3"/>
      <c r="B3262" s="3"/>
      <c r="C3262" s="3"/>
      <c r="D3262" s="3"/>
      <c r="E3262" s="3"/>
      <c r="F3262" s="3"/>
      <c r="G3262" s="3"/>
      <c r="H3262" s="3"/>
      <c r="I3262" s="3"/>
      <c r="J3262" s="3"/>
      <c r="K3262" s="3"/>
      <c r="L3262" s="3"/>
      <c r="M3262" s="3"/>
      <c r="N3262" s="3"/>
    </row>
    <row r="3263" spans="1:14" ht="16.5" customHeight="1">
      <c r="A3263" s="3"/>
      <c r="B3263" s="3"/>
      <c r="C3263" s="3"/>
      <c r="D3263" s="3"/>
      <c r="E3263" s="3"/>
      <c r="F3263" s="3"/>
      <c r="G3263" s="3"/>
      <c r="H3263" s="3"/>
      <c r="I3263" s="3"/>
      <c r="J3263" s="3"/>
      <c r="K3263" s="3"/>
      <c r="L3263" s="3"/>
      <c r="M3263" s="3"/>
      <c r="N3263" s="3"/>
    </row>
    <row r="3264" spans="1:14" ht="16.5" customHeight="1">
      <c r="A3264" s="3"/>
      <c r="B3264" s="3"/>
      <c r="C3264" s="3"/>
      <c r="D3264" s="3"/>
      <c r="E3264" s="3"/>
      <c r="F3264" s="3"/>
      <c r="G3264" s="3"/>
      <c r="H3264" s="3"/>
      <c r="I3264" s="3"/>
      <c r="J3264" s="3"/>
      <c r="K3264" s="3"/>
      <c r="L3264" s="3"/>
      <c r="M3264" s="3"/>
      <c r="N3264" s="3"/>
    </row>
    <row r="3265" spans="1:14" ht="16.5" customHeight="1">
      <c r="A3265" s="3"/>
      <c r="B3265" s="3"/>
      <c r="C3265" s="3"/>
      <c r="D3265" s="3"/>
      <c r="E3265" s="3"/>
      <c r="F3265" s="3"/>
      <c r="G3265" s="3"/>
      <c r="H3265" s="3"/>
      <c r="I3265" s="3"/>
      <c r="J3265" s="3"/>
      <c r="K3265" s="3"/>
      <c r="L3265" s="3"/>
      <c r="M3265" s="3"/>
      <c r="N3265" s="3"/>
    </row>
    <row r="3266" spans="1:14" ht="16.5" customHeight="1">
      <c r="A3266" s="3"/>
      <c r="B3266" s="3"/>
      <c r="C3266" s="3"/>
      <c r="D3266" s="3"/>
      <c r="E3266" s="3"/>
      <c r="F3266" s="3"/>
      <c r="G3266" s="3"/>
      <c r="H3266" s="3"/>
      <c r="I3266" s="3"/>
      <c r="J3266" s="3"/>
      <c r="K3266" s="3"/>
      <c r="L3266" s="3"/>
      <c r="M3266" s="3"/>
      <c r="N3266" s="3"/>
    </row>
    <row r="3267" spans="1:14" ht="16.5" customHeight="1">
      <c r="A3267" s="3"/>
      <c r="B3267" s="3"/>
      <c r="C3267" s="3"/>
      <c r="D3267" s="3"/>
      <c r="E3267" s="3"/>
      <c r="F3267" s="3"/>
      <c r="G3267" s="3"/>
      <c r="H3267" s="3"/>
      <c r="I3267" s="3"/>
      <c r="J3267" s="3"/>
      <c r="K3267" s="3"/>
      <c r="L3267" s="3"/>
      <c r="M3267" s="3"/>
      <c r="N3267" s="3"/>
    </row>
    <row r="3268" spans="1:14" ht="16.5" customHeight="1">
      <c r="A3268" s="3"/>
      <c r="B3268" s="3"/>
      <c r="C3268" s="3"/>
      <c r="D3268" s="3"/>
      <c r="E3268" s="3"/>
      <c r="F3268" s="3"/>
      <c r="G3268" s="3"/>
      <c r="H3268" s="3"/>
      <c r="I3268" s="3"/>
      <c r="J3268" s="3"/>
      <c r="K3268" s="3"/>
      <c r="L3268" s="3"/>
      <c r="M3268" s="3"/>
      <c r="N3268" s="3"/>
    </row>
    <row r="3269" spans="1:14" ht="16.5" customHeight="1">
      <c r="A3269" s="3"/>
      <c r="B3269" s="3"/>
      <c r="C3269" s="3"/>
      <c r="D3269" s="3"/>
      <c r="E3269" s="3"/>
      <c r="F3269" s="3"/>
      <c r="G3269" s="3"/>
      <c r="H3269" s="3"/>
      <c r="I3269" s="3"/>
      <c r="J3269" s="3"/>
      <c r="K3269" s="3"/>
      <c r="L3269" s="3"/>
      <c r="M3269" s="3"/>
      <c r="N3269" s="3"/>
    </row>
    <row r="3270" spans="1:14" ht="16.5" customHeight="1">
      <c r="A3270" s="3"/>
      <c r="B3270" s="3"/>
      <c r="C3270" s="3"/>
      <c r="D3270" s="3"/>
      <c r="E3270" s="3"/>
      <c r="F3270" s="3"/>
      <c r="G3270" s="3"/>
      <c r="H3270" s="3"/>
      <c r="I3270" s="3"/>
      <c r="J3270" s="3"/>
      <c r="K3270" s="3"/>
      <c r="L3270" s="3"/>
      <c r="M3270" s="3"/>
      <c r="N3270" s="3"/>
    </row>
    <row r="3271" spans="1:14" ht="16.5" customHeight="1">
      <c r="A3271" s="3"/>
      <c r="B3271" s="3"/>
      <c r="C3271" s="3"/>
      <c r="D3271" s="3"/>
      <c r="E3271" s="3"/>
      <c r="F3271" s="3"/>
      <c r="G3271" s="3"/>
      <c r="H3271" s="3"/>
      <c r="I3271" s="3"/>
      <c r="J3271" s="3"/>
      <c r="K3271" s="3"/>
      <c r="L3271" s="3"/>
      <c r="M3271" s="3"/>
      <c r="N3271" s="3"/>
    </row>
    <row r="3272" spans="1:14" ht="16.5" customHeight="1">
      <c r="A3272" s="3"/>
      <c r="B3272" s="3"/>
      <c r="C3272" s="3"/>
      <c r="D3272" s="3"/>
      <c r="E3272" s="3"/>
      <c r="F3272" s="3"/>
      <c r="G3272" s="3"/>
      <c r="H3272" s="3"/>
      <c r="I3272" s="3"/>
      <c r="J3272" s="3"/>
      <c r="K3272" s="3"/>
      <c r="L3272" s="3"/>
      <c r="M3272" s="3"/>
      <c r="N3272" s="3"/>
    </row>
    <row r="3273" spans="1:14" ht="16.5" customHeight="1">
      <c r="A3273" s="3"/>
      <c r="B3273" s="3"/>
      <c r="C3273" s="3"/>
      <c r="D3273" s="3"/>
      <c r="E3273" s="3"/>
      <c r="F3273" s="3"/>
      <c r="G3273" s="3"/>
      <c r="H3273" s="3"/>
      <c r="I3273" s="3"/>
      <c r="J3273" s="3"/>
      <c r="K3273" s="3"/>
      <c r="L3273" s="3"/>
      <c r="M3273" s="3"/>
      <c r="N3273" s="3"/>
    </row>
    <row r="3274" spans="1:14" ht="16.5" customHeight="1">
      <c r="A3274" s="3"/>
      <c r="B3274" s="3"/>
      <c r="C3274" s="3"/>
      <c r="D3274" s="3"/>
      <c r="E3274" s="3"/>
      <c r="F3274" s="3"/>
      <c r="G3274" s="3"/>
      <c r="H3274" s="3"/>
      <c r="I3274" s="3"/>
      <c r="J3274" s="3"/>
      <c r="K3274" s="3"/>
      <c r="L3274" s="3"/>
      <c r="M3274" s="3"/>
      <c r="N3274" s="3"/>
    </row>
    <row r="3275" spans="1:14" ht="16.5" customHeight="1">
      <c r="A3275" s="3"/>
      <c r="B3275" s="3"/>
      <c r="C3275" s="3"/>
      <c r="D3275" s="3"/>
      <c r="E3275" s="3"/>
      <c r="F3275" s="3"/>
      <c r="G3275" s="3"/>
      <c r="H3275" s="3"/>
      <c r="I3275" s="3"/>
      <c r="J3275" s="3"/>
      <c r="K3275" s="3"/>
      <c r="L3275" s="3"/>
      <c r="M3275" s="3"/>
      <c r="N3275" s="3"/>
    </row>
    <row r="3276" spans="1:14" ht="16.5" customHeight="1">
      <c r="A3276" s="3"/>
      <c r="B3276" s="3"/>
      <c r="C3276" s="3"/>
      <c r="D3276" s="3"/>
      <c r="E3276" s="3"/>
      <c r="F3276" s="3"/>
      <c r="G3276" s="3"/>
      <c r="H3276" s="3"/>
      <c r="I3276" s="3"/>
      <c r="J3276" s="3"/>
      <c r="K3276" s="3"/>
      <c r="L3276" s="3"/>
      <c r="M3276" s="3"/>
      <c r="N3276" s="3"/>
    </row>
    <row r="3277" spans="1:14" ht="16.5" customHeight="1">
      <c r="A3277" s="3"/>
      <c r="B3277" s="3"/>
      <c r="C3277" s="3"/>
      <c r="D3277" s="3"/>
      <c r="E3277" s="3"/>
      <c r="F3277" s="3"/>
      <c r="G3277" s="3"/>
      <c r="H3277" s="3"/>
      <c r="I3277" s="3"/>
      <c r="J3277" s="3"/>
      <c r="K3277" s="3"/>
      <c r="L3277" s="3"/>
      <c r="M3277" s="3"/>
      <c r="N3277" s="3"/>
    </row>
    <row r="3278" spans="1:14" ht="16.5" customHeight="1">
      <c r="A3278" s="3"/>
      <c r="B3278" s="3"/>
      <c r="C3278" s="3"/>
      <c r="D3278" s="3"/>
      <c r="E3278" s="3"/>
      <c r="F3278" s="3"/>
      <c r="G3278" s="3"/>
      <c r="H3278" s="3"/>
      <c r="I3278" s="3"/>
      <c r="J3278" s="3"/>
      <c r="K3278" s="3"/>
      <c r="L3278" s="3"/>
      <c r="M3278" s="3"/>
      <c r="N3278" s="3"/>
    </row>
    <row r="3279" spans="1:14" ht="16.5" customHeight="1">
      <c r="A3279" s="3"/>
      <c r="B3279" s="3"/>
      <c r="C3279" s="3"/>
      <c r="D3279" s="3"/>
      <c r="E3279" s="3"/>
      <c r="F3279" s="3"/>
      <c r="G3279" s="3"/>
      <c r="H3279" s="3"/>
      <c r="I3279" s="3"/>
      <c r="J3279" s="3"/>
      <c r="K3279" s="3"/>
      <c r="L3279" s="3"/>
      <c r="M3279" s="3"/>
      <c r="N3279" s="3"/>
    </row>
    <row r="3280" spans="1:14" ht="16.5" customHeight="1">
      <c r="A3280" s="3"/>
      <c r="B3280" s="3"/>
      <c r="C3280" s="3"/>
      <c r="D3280" s="3"/>
      <c r="E3280" s="3"/>
      <c r="F3280" s="3"/>
      <c r="G3280" s="3"/>
      <c r="H3280" s="3"/>
      <c r="I3280" s="3"/>
      <c r="J3280" s="3"/>
      <c r="K3280" s="3"/>
      <c r="L3280" s="3"/>
      <c r="M3280" s="3"/>
      <c r="N3280" s="3"/>
    </row>
    <row r="3281" spans="1:14" ht="16.5" customHeight="1">
      <c r="A3281" s="3"/>
      <c r="B3281" s="3"/>
      <c r="C3281" s="3"/>
      <c r="D3281" s="3"/>
      <c r="E3281" s="3"/>
      <c r="F3281" s="3"/>
      <c r="G3281" s="3"/>
      <c r="H3281" s="3"/>
      <c r="I3281" s="3"/>
      <c r="J3281" s="3"/>
      <c r="K3281" s="3"/>
      <c r="L3281" s="3"/>
      <c r="M3281" s="3"/>
      <c r="N3281" s="3"/>
    </row>
    <row r="3282" spans="1:14" ht="16.5" customHeight="1">
      <c r="A3282" s="3"/>
      <c r="B3282" s="3"/>
      <c r="C3282" s="3"/>
      <c r="D3282" s="3"/>
      <c r="E3282" s="3"/>
      <c r="F3282" s="3"/>
      <c r="G3282" s="3"/>
      <c r="H3282" s="3"/>
      <c r="I3282" s="3"/>
      <c r="J3282" s="3"/>
      <c r="K3282" s="3"/>
      <c r="L3282" s="3"/>
      <c r="M3282" s="3"/>
      <c r="N3282" s="3"/>
    </row>
    <row r="3283" spans="1:14" ht="16.5" customHeight="1">
      <c r="A3283" s="3"/>
      <c r="B3283" s="3"/>
      <c r="C3283" s="3"/>
      <c r="D3283" s="3"/>
      <c r="E3283" s="3"/>
      <c r="F3283" s="3"/>
      <c r="G3283" s="3"/>
      <c r="H3283" s="3"/>
      <c r="I3283" s="3"/>
      <c r="J3283" s="3"/>
      <c r="K3283" s="3"/>
      <c r="L3283" s="3"/>
      <c r="M3283" s="3"/>
      <c r="N3283" s="3"/>
    </row>
    <row r="3284" spans="1:14" ht="16.5" customHeight="1">
      <c r="A3284" s="3"/>
      <c r="B3284" s="3"/>
      <c r="C3284" s="3"/>
      <c r="D3284" s="3"/>
      <c r="E3284" s="3"/>
      <c r="F3284" s="3"/>
      <c r="G3284" s="3"/>
      <c r="H3284" s="3"/>
      <c r="I3284" s="3"/>
      <c r="J3284" s="3"/>
      <c r="K3284" s="3"/>
      <c r="L3284" s="3"/>
      <c r="M3284" s="3"/>
      <c r="N3284" s="3"/>
    </row>
    <row r="3285" spans="1:14" ht="16.5" customHeight="1">
      <c r="A3285" s="3"/>
      <c r="B3285" s="3"/>
      <c r="C3285" s="3"/>
      <c r="D3285" s="3"/>
      <c r="E3285" s="3"/>
      <c r="F3285" s="3"/>
      <c r="G3285" s="3"/>
      <c r="H3285" s="3"/>
      <c r="I3285" s="3"/>
      <c r="J3285" s="3"/>
      <c r="K3285" s="3"/>
      <c r="L3285" s="3"/>
      <c r="M3285" s="3"/>
      <c r="N3285" s="3"/>
    </row>
    <row r="3286" spans="1:14" ht="16.5" customHeight="1">
      <c r="A3286" s="3"/>
      <c r="B3286" s="3"/>
      <c r="C3286" s="3"/>
      <c r="D3286" s="3"/>
      <c r="E3286" s="3"/>
      <c r="F3286" s="3"/>
      <c r="G3286" s="3"/>
      <c r="H3286" s="3"/>
      <c r="I3286" s="3"/>
      <c r="J3286" s="3"/>
      <c r="K3286" s="3"/>
      <c r="L3286" s="3"/>
      <c r="M3286" s="3"/>
      <c r="N3286" s="3"/>
    </row>
    <row r="3287" spans="1:14" ht="16.5" customHeight="1">
      <c r="A3287" s="3"/>
      <c r="B3287" s="3"/>
      <c r="C3287" s="3"/>
      <c r="D3287" s="3"/>
      <c r="E3287" s="3"/>
      <c r="F3287" s="3"/>
      <c r="G3287" s="3"/>
      <c r="H3287" s="3"/>
      <c r="I3287" s="3"/>
      <c r="J3287" s="3"/>
      <c r="K3287" s="3"/>
      <c r="L3287" s="3"/>
      <c r="M3287" s="3"/>
      <c r="N3287" s="3"/>
    </row>
    <row r="3288" spans="1:14" ht="16.5" customHeight="1">
      <c r="A3288" s="3"/>
      <c r="B3288" s="3"/>
      <c r="C3288" s="3"/>
      <c r="D3288" s="3"/>
      <c r="E3288" s="3"/>
      <c r="F3288" s="3"/>
      <c r="G3288" s="3"/>
      <c r="H3288" s="3"/>
      <c r="I3288" s="3"/>
      <c r="J3288" s="3"/>
      <c r="K3288" s="3"/>
      <c r="L3288" s="3"/>
      <c r="M3288" s="3"/>
      <c r="N3288" s="3"/>
    </row>
    <row r="3289" spans="1:14" ht="16.5" customHeight="1">
      <c r="A3289" s="3"/>
      <c r="B3289" s="3"/>
      <c r="C3289" s="3"/>
      <c r="D3289" s="3"/>
      <c r="E3289" s="3"/>
      <c r="F3289" s="3"/>
      <c r="G3289" s="3"/>
      <c r="H3289" s="3"/>
      <c r="I3289" s="3"/>
      <c r="J3289" s="3"/>
      <c r="K3289" s="3"/>
      <c r="L3289" s="3"/>
      <c r="M3289" s="3"/>
      <c r="N3289" s="3"/>
    </row>
    <row r="3290" spans="1:14" ht="16.5" customHeight="1">
      <c r="A3290" s="3"/>
      <c r="B3290" s="3"/>
      <c r="C3290" s="3"/>
      <c r="D3290" s="3"/>
      <c r="E3290" s="3"/>
      <c r="F3290" s="3"/>
      <c r="G3290" s="3"/>
      <c r="H3290" s="3"/>
      <c r="I3290" s="3"/>
      <c r="J3290" s="3"/>
      <c r="K3290" s="3"/>
      <c r="L3290" s="3"/>
      <c r="M3290" s="3"/>
      <c r="N3290" s="3"/>
    </row>
    <row r="3291" spans="1:14" ht="16.5" customHeight="1">
      <c r="A3291" s="3"/>
      <c r="B3291" s="3"/>
      <c r="C3291" s="3"/>
      <c r="D3291" s="3"/>
      <c r="E3291" s="3"/>
      <c r="F3291" s="3"/>
      <c r="G3291" s="3"/>
      <c r="H3291" s="3"/>
      <c r="I3291" s="3"/>
      <c r="J3291" s="3"/>
      <c r="K3291" s="3"/>
      <c r="L3291" s="3"/>
      <c r="M3291" s="3"/>
      <c r="N3291" s="3"/>
    </row>
    <row r="3292" spans="1:14" ht="16.5" customHeight="1">
      <c r="A3292" s="3"/>
      <c r="B3292" s="3"/>
      <c r="C3292" s="3"/>
      <c r="D3292" s="3"/>
      <c r="E3292" s="3"/>
      <c r="F3292" s="3"/>
      <c r="G3292" s="3"/>
      <c r="H3292" s="3"/>
      <c r="I3292" s="3"/>
      <c r="J3292" s="3"/>
      <c r="K3292" s="3"/>
      <c r="L3292" s="3"/>
      <c r="M3292" s="3"/>
      <c r="N3292" s="3"/>
    </row>
    <row r="3293" spans="1:14" ht="16.5" customHeight="1">
      <c r="A3293" s="3"/>
      <c r="B3293" s="3"/>
      <c r="C3293" s="3"/>
      <c r="D3293" s="3"/>
      <c r="E3293" s="3"/>
      <c r="F3293" s="3"/>
      <c r="G3293" s="3"/>
      <c r="H3293" s="3"/>
      <c r="I3293" s="3"/>
      <c r="J3293" s="3"/>
      <c r="K3293" s="3"/>
      <c r="L3293" s="3"/>
      <c r="M3293" s="3"/>
      <c r="N3293" s="3"/>
    </row>
    <row r="3294" spans="1:14" ht="16.5" customHeight="1">
      <c r="A3294" s="3"/>
      <c r="B3294" s="3"/>
      <c r="C3294" s="3"/>
      <c r="D3294" s="3"/>
      <c r="E3294" s="3"/>
      <c r="F3294" s="3"/>
      <c r="G3294" s="3"/>
      <c r="H3294" s="3"/>
      <c r="I3294" s="3"/>
      <c r="J3294" s="3"/>
      <c r="K3294" s="3"/>
      <c r="L3294" s="3"/>
      <c r="M3294" s="3"/>
      <c r="N3294" s="3"/>
    </row>
    <row r="3295" spans="1:14" ht="16.5" customHeight="1">
      <c r="A3295" s="3"/>
      <c r="B3295" s="3"/>
      <c r="C3295" s="3"/>
      <c r="D3295" s="3"/>
      <c r="E3295" s="3"/>
      <c r="F3295" s="3"/>
      <c r="G3295" s="3"/>
      <c r="H3295" s="3"/>
      <c r="I3295" s="3"/>
      <c r="J3295" s="3"/>
      <c r="K3295" s="3"/>
      <c r="L3295" s="3"/>
      <c r="M3295" s="3"/>
      <c r="N3295" s="3"/>
    </row>
    <row r="3296" spans="1:14" ht="16.5" customHeight="1">
      <c r="A3296" s="3"/>
      <c r="B3296" s="3"/>
      <c r="C3296" s="3"/>
      <c r="D3296" s="3"/>
      <c r="E3296" s="3"/>
      <c r="F3296" s="3"/>
      <c r="G3296" s="3"/>
      <c r="H3296" s="3"/>
      <c r="I3296" s="3"/>
      <c r="J3296" s="3"/>
      <c r="K3296" s="3"/>
      <c r="L3296" s="3"/>
      <c r="M3296" s="3"/>
      <c r="N3296" s="3"/>
    </row>
    <row r="3297" spans="1:14" ht="16.5" customHeight="1">
      <c r="A3297" s="3"/>
      <c r="B3297" s="3"/>
      <c r="C3297" s="3"/>
      <c r="D3297" s="3"/>
      <c r="E3297" s="3"/>
      <c r="F3297" s="3"/>
      <c r="G3297" s="3"/>
      <c r="H3297" s="3"/>
      <c r="I3297" s="3"/>
      <c r="J3297" s="3"/>
      <c r="K3297" s="3"/>
      <c r="L3297" s="3"/>
      <c r="M3297" s="3"/>
      <c r="N3297" s="3"/>
    </row>
    <row r="3298" spans="1:14" ht="16.5" customHeight="1">
      <c r="A3298" s="3"/>
      <c r="B3298" s="3"/>
      <c r="C3298" s="3"/>
      <c r="D3298" s="3"/>
      <c r="E3298" s="3"/>
      <c r="F3298" s="3"/>
      <c r="G3298" s="3"/>
      <c r="H3298" s="3"/>
      <c r="I3298" s="3"/>
      <c r="J3298" s="3"/>
      <c r="K3298" s="3"/>
      <c r="L3298" s="3"/>
      <c r="M3298" s="3"/>
      <c r="N3298" s="3"/>
    </row>
    <row r="3299" spans="1:14" ht="16.5" customHeight="1">
      <c r="A3299" s="3"/>
      <c r="B3299" s="3"/>
      <c r="C3299" s="3"/>
      <c r="D3299" s="3"/>
      <c r="E3299" s="3"/>
      <c r="F3299" s="3"/>
      <c r="G3299" s="3"/>
      <c r="H3299" s="3"/>
      <c r="I3299" s="3"/>
      <c r="J3299" s="3"/>
      <c r="K3299" s="3"/>
      <c r="L3299" s="3"/>
      <c r="M3299" s="3"/>
      <c r="N3299" s="3"/>
    </row>
    <row r="3300" spans="1:14" ht="16.5" customHeight="1">
      <c r="A3300" s="3"/>
      <c r="B3300" s="3"/>
      <c r="C3300" s="3"/>
      <c r="D3300" s="3"/>
      <c r="E3300" s="3"/>
      <c r="F3300" s="3"/>
      <c r="G3300" s="3"/>
      <c r="H3300" s="3"/>
      <c r="I3300" s="3"/>
      <c r="J3300" s="3"/>
      <c r="K3300" s="3"/>
      <c r="L3300" s="3"/>
      <c r="M3300" s="3"/>
      <c r="N3300" s="3"/>
    </row>
    <row r="3301" spans="1:14" ht="16.5" customHeight="1">
      <c r="A3301" s="3"/>
      <c r="B3301" s="3"/>
      <c r="C3301" s="3"/>
      <c r="D3301" s="3"/>
      <c r="E3301" s="3"/>
      <c r="F3301" s="3"/>
      <c r="G3301" s="3"/>
      <c r="H3301" s="3"/>
      <c r="I3301" s="3"/>
      <c r="J3301" s="3"/>
      <c r="K3301" s="3"/>
      <c r="L3301" s="3"/>
      <c r="M3301" s="3"/>
      <c r="N3301" s="3"/>
    </row>
    <row r="3302" spans="1:14" ht="16.5" customHeight="1">
      <c r="A3302" s="3"/>
      <c r="B3302" s="3"/>
      <c r="C3302" s="3"/>
      <c r="D3302" s="3"/>
      <c r="E3302" s="3"/>
      <c r="F3302" s="3"/>
      <c r="G3302" s="3"/>
      <c r="H3302" s="3"/>
      <c r="I3302" s="3"/>
      <c r="J3302" s="3"/>
      <c r="K3302" s="3"/>
      <c r="L3302" s="3"/>
      <c r="M3302" s="3"/>
      <c r="N3302" s="3"/>
    </row>
    <row r="3303" spans="1:14" ht="16.5" customHeight="1">
      <c r="A3303" s="3"/>
      <c r="B3303" s="3"/>
      <c r="C3303" s="3"/>
      <c r="D3303" s="3"/>
      <c r="E3303" s="3"/>
      <c r="F3303" s="3"/>
      <c r="G3303" s="3"/>
      <c r="H3303" s="3"/>
      <c r="I3303" s="3"/>
      <c r="J3303" s="3"/>
      <c r="K3303" s="3"/>
      <c r="L3303" s="3"/>
      <c r="M3303" s="3"/>
      <c r="N3303" s="3"/>
    </row>
    <row r="3304" spans="1:14" ht="16.5" customHeight="1">
      <c r="A3304" s="3"/>
      <c r="B3304" s="3"/>
      <c r="C3304" s="3"/>
      <c r="D3304" s="3"/>
      <c r="E3304" s="3"/>
      <c r="F3304" s="3"/>
      <c r="G3304" s="3"/>
      <c r="H3304" s="3"/>
      <c r="I3304" s="3"/>
      <c r="J3304" s="3"/>
      <c r="K3304" s="3"/>
      <c r="L3304" s="3"/>
      <c r="M3304" s="3"/>
      <c r="N3304" s="3"/>
    </row>
    <row r="3305" spans="1:14" ht="16.5" customHeight="1">
      <c r="A3305" s="3"/>
      <c r="B3305" s="3"/>
      <c r="C3305" s="3"/>
      <c r="D3305" s="3"/>
      <c r="E3305" s="3"/>
      <c r="F3305" s="3"/>
      <c r="G3305" s="3"/>
      <c r="H3305" s="3"/>
      <c r="I3305" s="3"/>
      <c r="J3305" s="3"/>
      <c r="K3305" s="3"/>
      <c r="L3305" s="3"/>
      <c r="M3305" s="3"/>
      <c r="N3305" s="3"/>
    </row>
    <row r="3306" spans="1:14" ht="16.5" customHeight="1">
      <c r="A3306" s="3"/>
      <c r="B3306" s="3"/>
      <c r="C3306" s="3"/>
      <c r="D3306" s="3"/>
      <c r="E3306" s="3"/>
      <c r="F3306" s="3"/>
      <c r="G3306" s="3"/>
      <c r="H3306" s="3"/>
      <c r="I3306" s="3"/>
      <c r="J3306" s="3"/>
      <c r="K3306" s="3"/>
      <c r="L3306" s="3"/>
      <c r="M3306" s="3"/>
      <c r="N3306" s="3"/>
    </row>
    <row r="3307" spans="1:14" ht="16.5" customHeight="1">
      <c r="A3307" s="3"/>
      <c r="B3307" s="3"/>
      <c r="C3307" s="3"/>
      <c r="D3307" s="3"/>
      <c r="E3307" s="3"/>
      <c r="F3307" s="3"/>
      <c r="G3307" s="3"/>
      <c r="H3307" s="3"/>
      <c r="I3307" s="3"/>
      <c r="J3307" s="3"/>
      <c r="K3307" s="3"/>
      <c r="L3307" s="3"/>
      <c r="M3307" s="3"/>
      <c r="N3307" s="3"/>
    </row>
    <row r="3308" spans="1:14" ht="16.5" customHeight="1">
      <c r="A3308" s="3"/>
      <c r="B3308" s="3"/>
      <c r="C3308" s="3"/>
      <c r="D3308" s="3"/>
      <c r="E3308" s="3"/>
      <c r="F3308" s="3"/>
      <c r="G3308" s="3"/>
      <c r="H3308" s="3"/>
      <c r="I3308" s="3"/>
      <c r="J3308" s="3"/>
      <c r="K3308" s="3"/>
      <c r="L3308" s="3"/>
      <c r="M3308" s="3"/>
      <c r="N3308" s="3"/>
    </row>
    <row r="3309" spans="1:14" ht="16.5" customHeight="1">
      <c r="A3309" s="3"/>
      <c r="B3309" s="3"/>
      <c r="C3309" s="3"/>
      <c r="D3309" s="3"/>
      <c r="E3309" s="3"/>
      <c r="F3309" s="3"/>
      <c r="G3309" s="3"/>
      <c r="H3309" s="3"/>
      <c r="I3309" s="3"/>
      <c r="J3309" s="3"/>
      <c r="K3309" s="3"/>
      <c r="L3309" s="3"/>
      <c r="M3309" s="3"/>
      <c r="N3309" s="3"/>
    </row>
    <row r="3310" spans="1:14" ht="16.5" customHeight="1">
      <c r="A3310" s="3"/>
      <c r="B3310" s="3"/>
      <c r="C3310" s="3"/>
      <c r="D3310" s="3"/>
      <c r="E3310" s="3"/>
      <c r="F3310" s="3"/>
      <c r="G3310" s="3"/>
      <c r="H3310" s="3"/>
      <c r="I3310" s="3"/>
      <c r="J3310" s="3"/>
      <c r="K3310" s="3"/>
      <c r="L3310" s="3"/>
      <c r="M3310" s="3"/>
      <c r="N3310" s="3"/>
    </row>
    <row r="3311" spans="1:14" ht="16.5" customHeight="1">
      <c r="A3311" s="3"/>
      <c r="B3311" s="3"/>
      <c r="C3311" s="3"/>
      <c r="D3311" s="3"/>
      <c r="E3311" s="3"/>
      <c r="F3311" s="3"/>
      <c r="G3311" s="3"/>
      <c r="H3311" s="3"/>
      <c r="I3311" s="3"/>
      <c r="J3311" s="3"/>
      <c r="K3311" s="3"/>
      <c r="L3311" s="3"/>
      <c r="M3311" s="3"/>
      <c r="N3311" s="3"/>
    </row>
    <row r="3312" spans="1:14" ht="16.5" customHeight="1">
      <c r="A3312" s="3"/>
      <c r="B3312" s="3"/>
      <c r="C3312" s="3"/>
      <c r="D3312" s="3"/>
      <c r="E3312" s="3"/>
      <c r="F3312" s="3"/>
      <c r="G3312" s="3"/>
      <c r="H3312" s="3"/>
      <c r="I3312" s="3"/>
      <c r="J3312" s="3"/>
      <c r="K3312" s="3"/>
      <c r="L3312" s="3"/>
      <c r="M3312" s="3"/>
      <c r="N3312" s="3"/>
    </row>
    <row r="3313" spans="1:14" ht="16.5" customHeight="1">
      <c r="A3313" s="3"/>
      <c r="B3313" s="3"/>
      <c r="C3313" s="3"/>
      <c r="D3313" s="3"/>
      <c r="E3313" s="3"/>
      <c r="F3313" s="3"/>
      <c r="G3313" s="3"/>
      <c r="H3313" s="3"/>
      <c r="I3313" s="3"/>
      <c r="J3313" s="3"/>
      <c r="K3313" s="3"/>
      <c r="L3313" s="3"/>
      <c r="M3313" s="3"/>
      <c r="N3313" s="3"/>
    </row>
    <row r="3314" spans="1:14" ht="16.5" customHeight="1">
      <c r="A3314" s="3"/>
      <c r="B3314" s="3"/>
      <c r="C3314" s="3"/>
      <c r="D3314" s="3"/>
      <c r="E3314" s="3"/>
      <c r="F3314" s="3"/>
      <c r="G3314" s="3"/>
      <c r="H3314" s="3"/>
      <c r="I3314" s="3"/>
      <c r="J3314" s="3"/>
      <c r="K3314" s="3"/>
      <c r="L3314" s="3"/>
      <c r="M3314" s="3"/>
      <c r="N3314" s="3"/>
    </row>
    <row r="3315" spans="1:14" ht="16.5" customHeight="1">
      <c r="A3315" s="3"/>
      <c r="B3315" s="3"/>
      <c r="C3315" s="3"/>
      <c r="D3315" s="3"/>
      <c r="E3315" s="3"/>
      <c r="F3315" s="3"/>
      <c r="G3315" s="3"/>
      <c r="H3315" s="3"/>
      <c r="I3315" s="3"/>
      <c r="J3315" s="3"/>
      <c r="K3315" s="3"/>
      <c r="L3315" s="3"/>
      <c r="M3315" s="3"/>
      <c r="N3315" s="3"/>
    </row>
    <row r="3316" spans="1:14" ht="16.5" customHeight="1">
      <c r="A3316" s="3"/>
      <c r="B3316" s="3"/>
      <c r="C3316" s="3"/>
      <c r="D3316" s="3"/>
      <c r="E3316" s="3"/>
      <c r="F3316" s="3"/>
      <c r="G3316" s="3"/>
      <c r="H3316" s="3"/>
      <c r="I3316" s="3"/>
      <c r="J3316" s="3"/>
      <c r="K3316" s="3"/>
      <c r="L3316" s="3"/>
      <c r="M3316" s="3"/>
      <c r="N3316" s="3"/>
    </row>
    <row r="3317" spans="1:14" ht="16.5" customHeight="1">
      <c r="A3317" s="3"/>
      <c r="B3317" s="3"/>
      <c r="C3317" s="3"/>
      <c r="D3317" s="3"/>
      <c r="E3317" s="3"/>
      <c r="F3317" s="3"/>
      <c r="G3317" s="3"/>
      <c r="H3317" s="3"/>
      <c r="I3317" s="3"/>
      <c r="J3317" s="3"/>
      <c r="K3317" s="3"/>
      <c r="L3317" s="3"/>
      <c r="M3317" s="3"/>
      <c r="N3317" s="3"/>
    </row>
    <row r="3318" spans="1:14" ht="16.5" customHeight="1">
      <c r="A3318" s="3"/>
      <c r="B3318" s="3"/>
      <c r="C3318" s="3"/>
      <c r="D3318" s="3"/>
      <c r="E3318" s="3"/>
      <c r="F3318" s="3"/>
      <c r="G3318" s="3"/>
      <c r="H3318" s="3"/>
      <c r="I3318" s="3"/>
      <c r="J3318" s="3"/>
      <c r="K3318" s="3"/>
      <c r="L3318" s="3"/>
      <c r="M3318" s="3"/>
      <c r="N3318" s="3"/>
    </row>
    <row r="3319" spans="1:14" ht="16.5" customHeight="1">
      <c r="A3319" s="3"/>
      <c r="B3319" s="3"/>
      <c r="C3319" s="3"/>
      <c r="D3319" s="3"/>
      <c r="E3319" s="3"/>
      <c r="F3319" s="3"/>
      <c r="G3319" s="3"/>
      <c r="H3319" s="3"/>
      <c r="I3319" s="3"/>
      <c r="J3319" s="3"/>
      <c r="K3319" s="3"/>
      <c r="L3319" s="3"/>
      <c r="M3319" s="3"/>
      <c r="N3319" s="3"/>
    </row>
    <row r="3320" spans="1:14" ht="16.5" customHeight="1">
      <c r="A3320" s="3"/>
      <c r="B3320" s="3"/>
      <c r="C3320" s="3"/>
      <c r="D3320" s="3"/>
      <c r="E3320" s="3"/>
      <c r="F3320" s="3"/>
      <c r="G3320" s="3"/>
      <c r="H3320" s="3"/>
      <c r="I3320" s="3"/>
      <c r="J3320" s="3"/>
      <c r="K3320" s="3"/>
      <c r="L3320" s="3"/>
      <c r="M3320" s="3"/>
      <c r="N3320" s="3"/>
    </row>
    <row r="3321" spans="1:14" ht="16.5" customHeight="1">
      <c r="A3321" s="3"/>
      <c r="B3321" s="3"/>
      <c r="C3321" s="3"/>
      <c r="D3321" s="3"/>
      <c r="E3321" s="3"/>
      <c r="F3321" s="3"/>
      <c r="G3321" s="3"/>
      <c r="H3321" s="3"/>
      <c r="I3321" s="3"/>
      <c r="J3321" s="3"/>
      <c r="K3321" s="3"/>
      <c r="L3321" s="3"/>
      <c r="M3321" s="3"/>
      <c r="N3321" s="3"/>
    </row>
    <row r="3322" spans="1:14" ht="16.5" customHeight="1">
      <c r="A3322" s="3"/>
      <c r="B3322" s="3"/>
      <c r="C3322" s="3"/>
      <c r="D3322" s="3"/>
      <c r="E3322" s="3"/>
      <c r="F3322" s="3"/>
      <c r="G3322" s="3"/>
      <c r="H3322" s="3"/>
      <c r="I3322" s="3"/>
      <c r="J3322" s="3"/>
      <c r="K3322" s="3"/>
      <c r="L3322" s="3"/>
      <c r="M3322" s="3"/>
      <c r="N3322" s="3"/>
    </row>
    <row r="3323" spans="1:14" ht="16.5" customHeight="1">
      <c r="A3323" s="3"/>
      <c r="B3323" s="3"/>
      <c r="C3323" s="3"/>
      <c r="D3323" s="3"/>
      <c r="E3323" s="3"/>
      <c r="F3323" s="3"/>
      <c r="G3323" s="3"/>
      <c r="H3323" s="3"/>
      <c r="I3323" s="3"/>
      <c r="J3323" s="3"/>
      <c r="K3323" s="3"/>
      <c r="L3323" s="3"/>
      <c r="M3323" s="3"/>
      <c r="N3323" s="3"/>
    </row>
    <row r="3324" spans="1:14" ht="16.5" customHeight="1">
      <c r="A3324" s="3"/>
      <c r="B3324" s="3"/>
      <c r="C3324" s="3"/>
      <c r="D3324" s="3"/>
      <c r="E3324" s="3"/>
      <c r="F3324" s="3"/>
      <c r="G3324" s="3"/>
      <c r="H3324" s="3"/>
      <c r="I3324" s="3"/>
      <c r="J3324" s="3"/>
      <c r="K3324" s="3"/>
      <c r="L3324" s="3"/>
      <c r="M3324" s="3"/>
      <c r="N3324" s="3"/>
    </row>
    <row r="3325" spans="1:14" ht="16.5" customHeight="1">
      <c r="A3325" s="3"/>
      <c r="B3325" s="3"/>
      <c r="C3325" s="3"/>
      <c r="D3325" s="3"/>
      <c r="E3325" s="3"/>
      <c r="F3325" s="3"/>
      <c r="G3325" s="3"/>
      <c r="H3325" s="3"/>
      <c r="I3325" s="3"/>
      <c r="J3325" s="3"/>
      <c r="K3325" s="3"/>
      <c r="L3325" s="3"/>
      <c r="M3325" s="3"/>
      <c r="N3325" s="3"/>
    </row>
    <row r="3326" spans="1:14" ht="16.5" customHeight="1">
      <c r="A3326" s="3"/>
      <c r="B3326" s="3"/>
      <c r="C3326" s="3"/>
      <c r="D3326" s="3"/>
      <c r="E3326" s="3"/>
      <c r="F3326" s="3"/>
      <c r="G3326" s="3"/>
      <c r="H3326" s="3"/>
      <c r="I3326" s="3"/>
      <c r="J3326" s="3"/>
      <c r="K3326" s="3"/>
      <c r="L3326" s="3"/>
      <c r="M3326" s="3"/>
      <c r="N3326" s="3"/>
    </row>
    <row r="3327" spans="1:14" ht="16.5" customHeight="1">
      <c r="A3327" s="3"/>
      <c r="B3327" s="3"/>
      <c r="C3327" s="3"/>
      <c r="D3327" s="3"/>
      <c r="E3327" s="3"/>
      <c r="F3327" s="3"/>
      <c r="G3327" s="3"/>
      <c r="H3327" s="3"/>
      <c r="I3327" s="3"/>
      <c r="J3327" s="3"/>
      <c r="K3327" s="3"/>
      <c r="L3327" s="3"/>
      <c r="M3327" s="3"/>
      <c r="N3327" s="3"/>
    </row>
    <row r="3328" spans="1:14" ht="16.5" customHeight="1">
      <c r="A3328" s="3"/>
      <c r="B3328" s="3"/>
      <c r="C3328" s="3"/>
      <c r="D3328" s="3"/>
      <c r="E3328" s="3"/>
      <c r="F3328" s="3"/>
      <c r="G3328" s="3"/>
      <c r="H3328" s="3"/>
      <c r="I3328" s="3"/>
      <c r="J3328" s="3"/>
      <c r="K3328" s="3"/>
      <c r="L3328" s="3"/>
      <c r="M3328" s="3"/>
      <c r="N3328" s="3"/>
    </row>
    <row r="3329" spans="1:14" ht="16.5" customHeight="1">
      <c r="A3329" s="3"/>
      <c r="B3329" s="3"/>
      <c r="C3329" s="3"/>
      <c r="D3329" s="3"/>
      <c r="E3329" s="3"/>
      <c r="F3329" s="3"/>
      <c r="G3329" s="3"/>
      <c r="H3329" s="3"/>
      <c r="I3329" s="3"/>
      <c r="J3329" s="3"/>
      <c r="K3329" s="3"/>
      <c r="L3329" s="3"/>
      <c r="M3329" s="3"/>
      <c r="N3329" s="3"/>
    </row>
    <row r="3330" spans="1:14" ht="16.5" customHeight="1">
      <c r="A3330" s="3"/>
      <c r="B3330" s="3"/>
      <c r="C3330" s="3"/>
      <c r="D3330" s="3"/>
      <c r="E3330" s="3"/>
      <c r="F3330" s="3"/>
      <c r="G3330" s="3"/>
      <c r="H3330" s="3"/>
      <c r="I3330" s="3"/>
      <c r="J3330" s="3"/>
      <c r="K3330" s="3"/>
      <c r="L3330" s="3"/>
      <c r="M3330" s="3"/>
      <c r="N3330" s="3"/>
    </row>
    <row r="3331" spans="1:14" ht="16.5" customHeight="1">
      <c r="A3331" s="3"/>
      <c r="B3331" s="3"/>
      <c r="C3331" s="3"/>
      <c r="D3331" s="3"/>
      <c r="E3331" s="3"/>
      <c r="F3331" s="3"/>
      <c r="G3331" s="3"/>
      <c r="H3331" s="3"/>
      <c r="I3331" s="3"/>
      <c r="J3331" s="3"/>
      <c r="K3331" s="3"/>
      <c r="L3331" s="3"/>
      <c r="M3331" s="3"/>
      <c r="N3331" s="3"/>
    </row>
    <row r="3332" spans="1:14" ht="16.5" customHeight="1">
      <c r="A3332" s="3"/>
      <c r="B3332" s="3"/>
      <c r="C3332" s="3"/>
      <c r="D3332" s="3"/>
      <c r="E3332" s="3"/>
      <c r="F3332" s="3"/>
      <c r="G3332" s="3"/>
      <c r="H3332" s="3"/>
      <c r="I3332" s="3"/>
      <c r="J3332" s="3"/>
      <c r="K3332" s="3"/>
      <c r="L3332" s="3"/>
      <c r="M3332" s="3"/>
      <c r="N3332" s="3"/>
    </row>
    <row r="3333" spans="1:14" ht="16.5" customHeight="1">
      <c r="A3333" s="3"/>
      <c r="B3333" s="3"/>
      <c r="C3333" s="3"/>
      <c r="D3333" s="3"/>
      <c r="E3333" s="3"/>
      <c r="F3333" s="3"/>
      <c r="G3333" s="3"/>
      <c r="H3333" s="3"/>
      <c r="I3333" s="3"/>
      <c r="J3333" s="3"/>
      <c r="K3333" s="3"/>
      <c r="L3333" s="3"/>
      <c r="M3333" s="3"/>
      <c r="N3333" s="3"/>
    </row>
    <row r="3334" spans="1:14" ht="16.5" customHeight="1">
      <c r="A3334" s="3"/>
      <c r="B3334" s="3"/>
      <c r="C3334" s="3"/>
      <c r="D3334" s="3"/>
      <c r="E3334" s="3"/>
      <c r="F3334" s="3"/>
      <c r="G3334" s="3"/>
      <c r="H3334" s="3"/>
      <c r="I3334" s="3"/>
      <c r="J3334" s="3"/>
      <c r="K3334" s="3"/>
      <c r="L3334" s="3"/>
      <c r="M3334" s="3"/>
      <c r="N3334" s="3"/>
    </row>
    <row r="3335" spans="1:14" ht="16.5" customHeight="1">
      <c r="A3335" s="3"/>
      <c r="B3335" s="3"/>
      <c r="C3335" s="3"/>
      <c r="D3335" s="3"/>
      <c r="E3335" s="3"/>
      <c r="F3335" s="3"/>
      <c r="G3335" s="3"/>
      <c r="H3335" s="3"/>
      <c r="I3335" s="3"/>
      <c r="J3335" s="3"/>
      <c r="K3335" s="3"/>
      <c r="L3335" s="3"/>
      <c r="M3335" s="3"/>
      <c r="N3335" s="3"/>
    </row>
    <row r="3336" spans="1:14" ht="16.5" customHeight="1">
      <c r="A3336" s="3"/>
      <c r="B3336" s="3"/>
      <c r="C3336" s="3"/>
      <c r="D3336" s="3"/>
      <c r="E3336" s="3"/>
      <c r="F3336" s="3"/>
      <c r="G3336" s="3"/>
      <c r="H3336" s="3"/>
      <c r="I3336" s="3"/>
      <c r="J3336" s="3"/>
      <c r="K3336" s="3"/>
      <c r="L3336" s="3"/>
      <c r="M3336" s="3"/>
      <c r="N3336" s="3"/>
    </row>
    <row r="3337" spans="1:14" ht="16.5" customHeight="1">
      <c r="A3337" s="3"/>
      <c r="B3337" s="3"/>
      <c r="C3337" s="3"/>
      <c r="D3337" s="3"/>
      <c r="E3337" s="3"/>
      <c r="F3337" s="3"/>
      <c r="G3337" s="3"/>
      <c r="H3337" s="3"/>
      <c r="I3337" s="3"/>
      <c r="J3337" s="3"/>
      <c r="K3337" s="3"/>
      <c r="L3337" s="3"/>
      <c r="M3337" s="3"/>
      <c r="N3337" s="3"/>
    </row>
    <row r="3338" spans="1:14" ht="16.5" customHeight="1">
      <c r="A3338" s="3"/>
      <c r="B3338" s="3"/>
      <c r="C3338" s="3"/>
      <c r="D3338" s="3"/>
      <c r="E3338" s="3"/>
      <c r="F3338" s="3"/>
      <c r="G3338" s="3"/>
      <c r="H3338" s="3"/>
      <c r="I3338" s="3"/>
      <c r="J3338" s="3"/>
      <c r="K3338" s="3"/>
      <c r="L3338" s="3"/>
      <c r="M3338" s="3"/>
      <c r="N3338" s="3"/>
    </row>
    <row r="3339" spans="1:14" ht="16.5" customHeight="1">
      <c r="A3339" s="3"/>
      <c r="B3339" s="3"/>
      <c r="C3339" s="3"/>
      <c r="D3339" s="3"/>
      <c r="E3339" s="3"/>
      <c r="F3339" s="3"/>
      <c r="G3339" s="3"/>
      <c r="H3339" s="3"/>
      <c r="I3339" s="3"/>
      <c r="J3339" s="3"/>
      <c r="K3339" s="3"/>
      <c r="L3339" s="3"/>
      <c r="M3339" s="3"/>
      <c r="N3339" s="3"/>
    </row>
    <row r="3340" spans="1:14" ht="16.5" customHeight="1">
      <c r="A3340" s="3"/>
      <c r="B3340" s="3"/>
      <c r="C3340" s="3"/>
      <c r="D3340" s="3"/>
      <c r="E3340" s="3"/>
      <c r="F3340" s="3"/>
      <c r="G3340" s="3"/>
      <c r="H3340" s="3"/>
      <c r="I3340" s="3"/>
      <c r="J3340" s="3"/>
      <c r="K3340" s="3"/>
      <c r="L3340" s="3"/>
      <c r="M3340" s="3"/>
      <c r="N3340" s="3"/>
    </row>
    <row r="3341" spans="1:14" ht="16.5" customHeight="1">
      <c r="A3341" s="3"/>
      <c r="B3341" s="3"/>
      <c r="C3341" s="3"/>
      <c r="D3341" s="3"/>
      <c r="E3341" s="3"/>
      <c r="F3341" s="3"/>
      <c r="G3341" s="3"/>
      <c r="H3341" s="3"/>
      <c r="I3341" s="3"/>
      <c r="J3341" s="3"/>
      <c r="K3341" s="3"/>
      <c r="L3341" s="3"/>
      <c r="M3341" s="3"/>
      <c r="N3341" s="3"/>
    </row>
    <row r="3342" spans="1:14" ht="16.5" customHeight="1">
      <c r="A3342" s="3"/>
      <c r="B3342" s="3"/>
      <c r="C3342" s="3"/>
      <c r="D3342" s="3"/>
      <c r="E3342" s="3"/>
      <c r="F3342" s="3"/>
      <c r="G3342" s="3"/>
      <c r="H3342" s="3"/>
      <c r="I3342" s="3"/>
      <c r="J3342" s="3"/>
      <c r="K3342" s="3"/>
      <c r="L3342" s="3"/>
      <c r="M3342" s="3"/>
      <c r="N3342" s="3"/>
    </row>
    <row r="3343" spans="1:14" ht="16.5" customHeight="1">
      <c r="A3343" s="3"/>
      <c r="B3343" s="3"/>
      <c r="C3343" s="3"/>
      <c r="D3343" s="3"/>
      <c r="E3343" s="3"/>
      <c r="F3343" s="3"/>
      <c r="G3343" s="3"/>
      <c r="H3343" s="3"/>
      <c r="I3343" s="3"/>
      <c r="J3343" s="3"/>
      <c r="K3343" s="3"/>
      <c r="L3343" s="3"/>
      <c r="M3343" s="3"/>
      <c r="N3343" s="3"/>
    </row>
    <row r="3344" spans="1:14" ht="16.5" customHeight="1">
      <c r="A3344" s="3"/>
      <c r="B3344" s="3"/>
      <c r="C3344" s="3"/>
      <c r="D3344" s="3"/>
      <c r="E3344" s="3"/>
      <c r="F3344" s="3"/>
      <c r="G3344" s="3"/>
      <c r="H3344" s="3"/>
      <c r="I3344" s="3"/>
      <c r="J3344" s="3"/>
      <c r="K3344" s="3"/>
      <c r="L3344" s="3"/>
      <c r="M3344" s="3"/>
      <c r="N3344" s="3"/>
    </row>
    <row r="3345" spans="1:14" ht="16.5" customHeight="1">
      <c r="A3345" s="3"/>
      <c r="B3345" s="3"/>
      <c r="C3345" s="3"/>
      <c r="D3345" s="3"/>
      <c r="E3345" s="3"/>
      <c r="F3345" s="3"/>
      <c r="G3345" s="3"/>
      <c r="H3345" s="3"/>
      <c r="I3345" s="3"/>
      <c r="J3345" s="3"/>
      <c r="K3345" s="3"/>
      <c r="L3345" s="3"/>
      <c r="M3345" s="3"/>
      <c r="N3345" s="3"/>
    </row>
    <row r="3346" spans="1:14" ht="16.5" customHeight="1">
      <c r="A3346" s="3"/>
      <c r="B3346" s="3"/>
      <c r="C3346" s="3"/>
      <c r="D3346" s="3"/>
      <c r="E3346" s="3"/>
      <c r="F3346" s="3"/>
      <c r="G3346" s="3"/>
      <c r="H3346" s="3"/>
      <c r="I3346" s="3"/>
      <c r="J3346" s="3"/>
      <c r="K3346" s="3"/>
      <c r="L3346" s="3"/>
      <c r="M3346" s="3"/>
      <c r="N3346" s="3"/>
    </row>
    <row r="3347" spans="1:14" ht="16.5" customHeight="1">
      <c r="A3347" s="3"/>
      <c r="B3347" s="3"/>
      <c r="C3347" s="3"/>
      <c r="D3347" s="3"/>
      <c r="E3347" s="3"/>
      <c r="F3347" s="3"/>
      <c r="G3347" s="3"/>
      <c r="H3347" s="3"/>
      <c r="I3347" s="3"/>
      <c r="J3347" s="3"/>
      <c r="K3347" s="3"/>
      <c r="L3347" s="3"/>
      <c r="M3347" s="3"/>
      <c r="N3347" s="3"/>
    </row>
    <row r="3348" spans="1:14" ht="16.5" customHeight="1">
      <c r="A3348" s="3"/>
      <c r="B3348" s="3"/>
      <c r="C3348" s="3"/>
      <c r="D3348" s="3"/>
      <c r="E3348" s="3"/>
      <c r="F3348" s="3"/>
      <c r="G3348" s="3"/>
      <c r="H3348" s="3"/>
      <c r="I3348" s="3"/>
      <c r="J3348" s="3"/>
      <c r="K3348" s="3"/>
      <c r="L3348" s="3"/>
      <c r="M3348" s="3"/>
      <c r="N3348" s="3"/>
    </row>
    <row r="3349" spans="1:14" ht="16.5" customHeight="1">
      <c r="A3349" s="3"/>
      <c r="B3349" s="3"/>
      <c r="C3349" s="3"/>
      <c r="D3349" s="3"/>
      <c r="E3349" s="3"/>
      <c r="F3349" s="3"/>
      <c r="G3349" s="3"/>
      <c r="H3349" s="3"/>
      <c r="I3349" s="3"/>
      <c r="J3349" s="3"/>
      <c r="K3349" s="3"/>
      <c r="L3349" s="3"/>
      <c r="M3349" s="3"/>
      <c r="N3349" s="3"/>
    </row>
    <row r="3350" spans="1:14" ht="16.5" customHeight="1">
      <c r="A3350" s="3"/>
      <c r="B3350" s="3"/>
      <c r="C3350" s="3"/>
      <c r="D3350" s="3"/>
      <c r="E3350" s="3"/>
      <c r="F3350" s="3"/>
      <c r="G3350" s="3"/>
      <c r="H3350" s="3"/>
      <c r="I3350" s="3"/>
      <c r="J3350" s="3"/>
      <c r="K3350" s="3"/>
      <c r="L3350" s="3"/>
      <c r="M3350" s="3"/>
      <c r="N3350" s="3"/>
    </row>
    <row r="3351" spans="1:14" ht="16.5" customHeight="1">
      <c r="A3351" s="3"/>
      <c r="B3351" s="3"/>
      <c r="C3351" s="3"/>
      <c r="D3351" s="3"/>
      <c r="E3351" s="3"/>
      <c r="F3351" s="3"/>
      <c r="G3351" s="3"/>
      <c r="H3351" s="3"/>
      <c r="I3351" s="3"/>
      <c r="J3351" s="3"/>
      <c r="K3351" s="3"/>
      <c r="L3351" s="3"/>
      <c r="M3351" s="3"/>
      <c r="N3351" s="3"/>
    </row>
    <row r="3352" spans="1:14" ht="16.5" customHeight="1">
      <c r="A3352" s="3"/>
      <c r="B3352" s="3"/>
      <c r="C3352" s="3"/>
      <c r="D3352" s="3"/>
      <c r="E3352" s="3"/>
      <c r="F3352" s="3"/>
      <c r="G3352" s="3"/>
      <c r="H3352" s="3"/>
      <c r="I3352" s="3"/>
      <c r="J3352" s="3"/>
      <c r="K3352" s="3"/>
      <c r="L3352" s="3"/>
      <c r="M3352" s="3"/>
      <c r="N3352" s="3"/>
    </row>
    <row r="3353" spans="1:14" ht="16.5" customHeight="1">
      <c r="A3353" s="3"/>
      <c r="B3353" s="3"/>
      <c r="C3353" s="3"/>
      <c r="D3353" s="3"/>
      <c r="E3353" s="3"/>
      <c r="F3353" s="3"/>
      <c r="G3353" s="3"/>
      <c r="H3353" s="3"/>
      <c r="I3353" s="3"/>
      <c r="J3353" s="3"/>
      <c r="K3353" s="3"/>
      <c r="L3353" s="3"/>
      <c r="M3353" s="3"/>
      <c r="N3353" s="3"/>
    </row>
    <row r="3354" spans="1:14" ht="16.5" customHeight="1">
      <c r="A3354" s="3"/>
      <c r="B3354" s="3"/>
      <c r="C3354" s="3"/>
      <c r="D3354" s="3"/>
      <c r="E3354" s="3"/>
      <c r="F3354" s="3"/>
      <c r="G3354" s="3"/>
      <c r="H3354" s="3"/>
      <c r="I3354" s="3"/>
      <c r="J3354" s="3"/>
      <c r="K3354" s="3"/>
      <c r="L3354" s="3"/>
      <c r="M3354" s="3"/>
      <c r="N3354" s="3"/>
    </row>
    <row r="3355" spans="1:14" ht="16.5" customHeight="1">
      <c r="A3355" s="3"/>
      <c r="B3355" s="3"/>
      <c r="C3355" s="3"/>
      <c r="D3355" s="3"/>
      <c r="E3355" s="3"/>
      <c r="F3355" s="3"/>
      <c r="G3355" s="3"/>
      <c r="H3355" s="3"/>
      <c r="I3355" s="3"/>
      <c r="J3355" s="3"/>
      <c r="K3355" s="3"/>
      <c r="L3355" s="3"/>
      <c r="M3355" s="3"/>
      <c r="N3355" s="3"/>
    </row>
    <row r="3356" spans="1:14" ht="16.5" customHeight="1">
      <c r="A3356" s="3"/>
      <c r="B3356" s="3"/>
      <c r="C3356" s="3"/>
      <c r="D3356" s="3"/>
      <c r="E3356" s="3"/>
      <c r="F3356" s="3"/>
      <c r="G3356" s="3"/>
      <c r="H3356" s="3"/>
      <c r="I3356" s="3"/>
      <c r="J3356" s="3"/>
      <c r="K3356" s="3"/>
      <c r="L3356" s="3"/>
      <c r="M3356" s="3"/>
      <c r="N3356" s="3"/>
    </row>
    <row r="3357" spans="1:14" ht="16.5" customHeight="1">
      <c r="A3357" s="3"/>
      <c r="B3357" s="3"/>
      <c r="C3357" s="3"/>
      <c r="D3357" s="3"/>
      <c r="E3357" s="3"/>
      <c r="F3357" s="3"/>
      <c r="G3357" s="3"/>
      <c r="H3357" s="3"/>
      <c r="I3357" s="3"/>
      <c r="J3357" s="3"/>
      <c r="K3357" s="3"/>
      <c r="L3357" s="3"/>
      <c r="M3357" s="3"/>
      <c r="N3357" s="3"/>
    </row>
    <row r="3358" spans="1:14" ht="16.5" customHeight="1">
      <c r="A3358" s="3"/>
      <c r="B3358" s="3"/>
      <c r="C3358" s="3"/>
      <c r="D3358" s="3"/>
      <c r="E3358" s="3"/>
      <c r="F3358" s="3"/>
      <c r="G3358" s="3"/>
      <c r="H3358" s="3"/>
      <c r="I3358" s="3"/>
      <c r="J3358" s="3"/>
      <c r="K3358" s="3"/>
      <c r="L3358" s="3"/>
      <c r="M3358" s="3"/>
      <c r="N3358" s="3"/>
    </row>
    <row r="3359" spans="1:14" ht="16.5" customHeight="1">
      <c r="A3359" s="3"/>
      <c r="B3359" s="3"/>
      <c r="C3359" s="3"/>
      <c r="D3359" s="3"/>
      <c r="E3359" s="3"/>
      <c r="F3359" s="3"/>
      <c r="G3359" s="3"/>
      <c r="H3359" s="3"/>
      <c r="I3359" s="3"/>
      <c r="J3359" s="3"/>
      <c r="K3359" s="3"/>
      <c r="L3359" s="3"/>
      <c r="M3359" s="3"/>
      <c r="N3359" s="3"/>
    </row>
    <row r="3360" spans="1:14" ht="16.5" customHeight="1">
      <c r="A3360" s="3"/>
      <c r="B3360" s="3"/>
      <c r="C3360" s="3"/>
      <c r="D3360" s="3"/>
      <c r="E3360" s="3"/>
      <c r="F3360" s="3"/>
      <c r="G3360" s="3"/>
      <c r="H3360" s="3"/>
      <c r="I3360" s="3"/>
      <c r="J3360" s="3"/>
      <c r="K3360" s="3"/>
      <c r="L3360" s="3"/>
      <c r="M3360" s="3"/>
      <c r="N3360" s="3"/>
    </row>
    <row r="3361" spans="1:14" ht="16.5" customHeight="1">
      <c r="A3361" s="3"/>
      <c r="B3361" s="3"/>
      <c r="C3361" s="3"/>
      <c r="D3361" s="3"/>
      <c r="E3361" s="3"/>
      <c r="F3361" s="3"/>
      <c r="G3361" s="3"/>
      <c r="H3361" s="3"/>
      <c r="I3361" s="3"/>
      <c r="J3361" s="3"/>
      <c r="K3361" s="3"/>
      <c r="L3361" s="3"/>
      <c r="M3361" s="3"/>
      <c r="N3361" s="3"/>
    </row>
    <row r="3362" spans="1:14" ht="16.5" customHeight="1">
      <c r="A3362" s="3"/>
      <c r="B3362" s="3"/>
      <c r="C3362" s="3"/>
      <c r="D3362" s="3"/>
      <c r="E3362" s="3"/>
      <c r="F3362" s="3"/>
      <c r="G3362" s="3"/>
      <c r="H3362" s="3"/>
      <c r="I3362" s="3"/>
      <c r="J3362" s="3"/>
      <c r="K3362" s="3"/>
      <c r="L3362" s="3"/>
      <c r="M3362" s="3"/>
      <c r="N3362" s="3"/>
    </row>
    <row r="3363" spans="1:14" ht="16.5" customHeight="1">
      <c r="A3363" s="3"/>
      <c r="B3363" s="3"/>
      <c r="C3363" s="3"/>
      <c r="D3363" s="3"/>
      <c r="E3363" s="3"/>
      <c r="F3363" s="3"/>
      <c r="G3363" s="3"/>
      <c r="H3363" s="3"/>
      <c r="I3363" s="3"/>
      <c r="J3363" s="3"/>
      <c r="K3363" s="3"/>
      <c r="L3363" s="3"/>
      <c r="M3363" s="3"/>
      <c r="N3363" s="3"/>
    </row>
    <row r="3364" spans="1:14" ht="16.5" customHeight="1">
      <c r="A3364" s="3"/>
      <c r="B3364" s="3"/>
      <c r="C3364" s="3"/>
      <c r="D3364" s="3"/>
      <c r="E3364" s="3"/>
      <c r="F3364" s="3"/>
      <c r="G3364" s="3"/>
      <c r="H3364" s="3"/>
      <c r="I3364" s="3"/>
      <c r="J3364" s="3"/>
      <c r="K3364" s="3"/>
      <c r="L3364" s="3"/>
      <c r="M3364" s="3"/>
      <c r="N3364" s="3"/>
    </row>
    <row r="3365" spans="1:14" ht="16.5" customHeight="1">
      <c r="A3365" s="3"/>
      <c r="B3365" s="3"/>
      <c r="C3365" s="3"/>
      <c r="D3365" s="3"/>
      <c r="E3365" s="3"/>
      <c r="F3365" s="3"/>
      <c r="G3365" s="3"/>
      <c r="H3365" s="3"/>
      <c r="I3365" s="3"/>
      <c r="J3365" s="3"/>
      <c r="K3365" s="3"/>
      <c r="L3365" s="3"/>
      <c r="M3365" s="3"/>
      <c r="N3365" s="3"/>
    </row>
    <row r="3366" spans="1:14" ht="16.5" customHeight="1">
      <c r="A3366" s="3"/>
      <c r="B3366" s="3"/>
      <c r="C3366" s="3"/>
      <c r="D3366" s="3"/>
      <c r="E3366" s="3"/>
      <c r="F3366" s="3"/>
      <c r="G3366" s="3"/>
      <c r="H3366" s="3"/>
      <c r="I3366" s="3"/>
      <c r="J3366" s="3"/>
      <c r="K3366" s="3"/>
      <c r="L3366" s="3"/>
      <c r="M3366" s="3"/>
      <c r="N3366" s="3"/>
    </row>
    <row r="3367" spans="1:14" ht="16.5" customHeight="1">
      <c r="A3367" s="3"/>
      <c r="B3367" s="3"/>
      <c r="C3367" s="3"/>
      <c r="D3367" s="3"/>
      <c r="E3367" s="3"/>
      <c r="F3367" s="3"/>
      <c r="G3367" s="3"/>
      <c r="H3367" s="3"/>
      <c r="I3367" s="3"/>
      <c r="J3367" s="3"/>
      <c r="K3367" s="3"/>
      <c r="L3367" s="3"/>
      <c r="M3367" s="3"/>
      <c r="N3367" s="3"/>
    </row>
    <row r="3368" spans="1:14" ht="16.5" customHeight="1">
      <c r="A3368" s="3"/>
      <c r="B3368" s="3"/>
      <c r="C3368" s="3"/>
      <c r="D3368" s="3"/>
      <c r="E3368" s="3"/>
      <c r="F3368" s="3"/>
      <c r="G3368" s="3"/>
      <c r="H3368" s="3"/>
      <c r="I3368" s="3"/>
      <c r="J3368" s="3"/>
      <c r="K3368" s="3"/>
      <c r="L3368" s="3"/>
      <c r="M3368" s="3"/>
      <c r="N3368" s="3"/>
    </row>
    <row r="3369" spans="1:14" ht="16.5" customHeight="1">
      <c r="A3369" s="3"/>
      <c r="B3369" s="3"/>
      <c r="C3369" s="3"/>
      <c r="D3369" s="3"/>
      <c r="E3369" s="3"/>
      <c r="F3369" s="3"/>
      <c r="G3369" s="3"/>
      <c r="H3369" s="3"/>
      <c r="I3369" s="3"/>
      <c r="J3369" s="3"/>
      <c r="K3369" s="3"/>
      <c r="L3369" s="3"/>
      <c r="M3369" s="3"/>
      <c r="N3369" s="3"/>
    </row>
    <row r="3370" spans="1:14" ht="16.5" customHeight="1">
      <c r="A3370" s="3"/>
      <c r="B3370" s="3"/>
      <c r="C3370" s="3"/>
      <c r="D3370" s="3"/>
      <c r="E3370" s="3"/>
      <c r="F3370" s="3"/>
      <c r="G3370" s="3"/>
      <c r="H3370" s="3"/>
      <c r="I3370" s="3"/>
      <c r="J3370" s="3"/>
      <c r="K3370" s="3"/>
      <c r="L3370" s="3"/>
      <c r="M3370" s="3"/>
      <c r="N3370" s="3"/>
    </row>
    <row r="3371" spans="1:14" ht="16.5" customHeight="1">
      <c r="A3371" s="3"/>
      <c r="B3371" s="3"/>
      <c r="C3371" s="3"/>
      <c r="D3371" s="3"/>
      <c r="E3371" s="3"/>
      <c r="F3371" s="3"/>
      <c r="G3371" s="3"/>
      <c r="H3371" s="3"/>
      <c r="I3371" s="3"/>
      <c r="J3371" s="3"/>
      <c r="K3371" s="3"/>
      <c r="L3371" s="3"/>
      <c r="M3371" s="3"/>
      <c r="N3371" s="3"/>
    </row>
    <row r="3372" spans="1:14" ht="16.5" customHeight="1">
      <c r="A3372" s="3"/>
      <c r="B3372" s="3"/>
      <c r="C3372" s="3"/>
      <c r="D3372" s="3"/>
      <c r="E3372" s="3"/>
      <c r="F3372" s="3"/>
      <c r="G3372" s="3"/>
      <c r="H3372" s="3"/>
      <c r="I3372" s="3"/>
      <c r="J3372" s="3"/>
      <c r="K3372" s="3"/>
      <c r="L3372" s="3"/>
      <c r="M3372" s="3"/>
      <c r="N3372" s="3"/>
    </row>
    <row r="3373" spans="1:14" ht="16.5" customHeight="1">
      <c r="A3373" s="3"/>
      <c r="B3373" s="3"/>
      <c r="C3373" s="3"/>
      <c r="D3373" s="3"/>
      <c r="E3373" s="3"/>
      <c r="F3373" s="3"/>
      <c r="G3373" s="3"/>
      <c r="H3373" s="3"/>
      <c r="I3373" s="3"/>
      <c r="J3373" s="3"/>
      <c r="K3373" s="3"/>
      <c r="L3373" s="3"/>
      <c r="M3373" s="3"/>
      <c r="N3373" s="3"/>
    </row>
    <row r="3374" spans="1:14" ht="16.5" customHeight="1">
      <c r="A3374" s="3"/>
      <c r="B3374" s="3"/>
      <c r="C3374" s="3"/>
      <c r="D3374" s="3"/>
      <c r="E3374" s="3"/>
      <c r="F3374" s="3"/>
      <c r="G3374" s="3"/>
      <c r="H3374" s="3"/>
      <c r="I3374" s="3"/>
      <c r="J3374" s="3"/>
      <c r="K3374" s="3"/>
      <c r="L3374" s="3"/>
      <c r="M3374" s="3"/>
      <c r="N3374" s="3"/>
    </row>
    <row r="3375" spans="1:14" ht="16.5" customHeight="1">
      <c r="A3375" s="3"/>
      <c r="B3375" s="3"/>
      <c r="C3375" s="3"/>
      <c r="D3375" s="3"/>
      <c r="E3375" s="3"/>
      <c r="F3375" s="3"/>
      <c r="G3375" s="3"/>
      <c r="H3375" s="3"/>
      <c r="I3375" s="3"/>
      <c r="J3375" s="3"/>
      <c r="K3375" s="3"/>
      <c r="L3375" s="3"/>
      <c r="M3375" s="3"/>
      <c r="N3375" s="3"/>
    </row>
    <row r="3376" spans="1:14" ht="16.5" customHeight="1">
      <c r="A3376" s="3"/>
      <c r="B3376" s="3"/>
      <c r="C3376" s="3"/>
      <c r="D3376" s="3"/>
      <c r="E3376" s="3"/>
      <c r="F3376" s="3"/>
      <c r="G3376" s="3"/>
      <c r="H3376" s="3"/>
      <c r="I3376" s="3"/>
      <c r="J3376" s="3"/>
      <c r="K3376" s="3"/>
      <c r="L3376" s="3"/>
      <c r="M3376" s="3"/>
      <c r="N3376" s="3"/>
    </row>
    <row r="3377" spans="1:14" ht="16.5" customHeight="1">
      <c r="A3377" s="3"/>
      <c r="B3377" s="3"/>
      <c r="C3377" s="3"/>
      <c r="D3377" s="3"/>
      <c r="E3377" s="3"/>
      <c r="F3377" s="3"/>
      <c r="G3377" s="3"/>
      <c r="H3377" s="3"/>
      <c r="I3377" s="3"/>
      <c r="J3377" s="3"/>
      <c r="K3377" s="3"/>
      <c r="L3377" s="3"/>
      <c r="M3377" s="3"/>
      <c r="N3377" s="3"/>
    </row>
    <row r="3378" spans="1:14" ht="16.5" customHeight="1">
      <c r="A3378" s="3"/>
      <c r="B3378" s="3"/>
      <c r="C3378" s="3"/>
      <c r="D3378" s="3"/>
      <c r="E3378" s="3"/>
      <c r="F3378" s="3"/>
      <c r="G3378" s="3"/>
      <c r="H3378" s="3"/>
      <c r="I3378" s="3"/>
      <c r="J3378" s="3"/>
      <c r="K3378" s="3"/>
      <c r="L3378" s="3"/>
      <c r="M3378" s="3"/>
      <c r="N3378" s="3"/>
    </row>
    <row r="3379" spans="1:14" ht="16.5" customHeight="1">
      <c r="A3379" s="3"/>
      <c r="B3379" s="3"/>
      <c r="C3379" s="3"/>
      <c r="D3379" s="3"/>
      <c r="E3379" s="3"/>
      <c r="F3379" s="3"/>
      <c r="G3379" s="3"/>
      <c r="H3379" s="3"/>
      <c r="I3379" s="3"/>
      <c r="J3379" s="3"/>
      <c r="K3379" s="3"/>
      <c r="L3379" s="3"/>
      <c r="M3379" s="3"/>
      <c r="N3379" s="3"/>
    </row>
    <row r="3380" spans="1:14" ht="16.5" customHeight="1">
      <c r="A3380" s="3"/>
      <c r="B3380" s="3"/>
      <c r="C3380" s="3"/>
      <c r="D3380" s="3"/>
      <c r="E3380" s="3"/>
      <c r="F3380" s="3"/>
      <c r="G3380" s="3"/>
      <c r="H3380" s="3"/>
      <c r="I3380" s="3"/>
      <c r="J3380" s="3"/>
      <c r="K3380" s="3"/>
      <c r="L3380" s="3"/>
      <c r="M3380" s="3"/>
      <c r="N3380" s="3"/>
    </row>
    <row r="3381" spans="1:14" ht="16.5" customHeight="1">
      <c r="A3381" s="3"/>
      <c r="B3381" s="3"/>
      <c r="C3381" s="3"/>
      <c r="D3381" s="3"/>
      <c r="E3381" s="3"/>
      <c r="F3381" s="3"/>
      <c r="G3381" s="3"/>
      <c r="H3381" s="3"/>
      <c r="I3381" s="3"/>
      <c r="J3381" s="3"/>
      <c r="K3381" s="3"/>
      <c r="L3381" s="3"/>
      <c r="M3381" s="3"/>
      <c r="N3381" s="3"/>
    </row>
    <row r="3382" spans="1:14" ht="16.5" customHeight="1">
      <c r="A3382" s="3"/>
      <c r="B3382" s="3"/>
      <c r="C3382" s="3"/>
      <c r="D3382" s="3"/>
      <c r="E3382" s="3"/>
      <c r="F3382" s="3"/>
      <c r="G3382" s="3"/>
      <c r="H3382" s="3"/>
      <c r="I3382" s="3"/>
      <c r="J3382" s="3"/>
      <c r="K3382" s="3"/>
      <c r="L3382" s="3"/>
      <c r="M3382" s="3"/>
      <c r="N3382" s="3"/>
    </row>
    <row r="3383" spans="1:14" ht="16.5" customHeight="1">
      <c r="A3383" s="3"/>
      <c r="B3383" s="3"/>
      <c r="C3383" s="3"/>
      <c r="D3383" s="3"/>
      <c r="E3383" s="3"/>
      <c r="F3383" s="3"/>
      <c r="G3383" s="3"/>
      <c r="H3383" s="3"/>
      <c r="I3383" s="3"/>
      <c r="J3383" s="3"/>
      <c r="K3383" s="3"/>
      <c r="L3383" s="3"/>
      <c r="M3383" s="3"/>
      <c r="N3383" s="3"/>
    </row>
    <row r="3384" spans="1:14" ht="16.5" customHeight="1">
      <c r="A3384" s="3"/>
      <c r="B3384" s="3"/>
      <c r="C3384" s="3"/>
      <c r="D3384" s="3"/>
      <c r="E3384" s="3"/>
      <c r="F3384" s="3"/>
      <c r="G3384" s="3"/>
      <c r="H3384" s="3"/>
      <c r="I3384" s="3"/>
      <c r="J3384" s="3"/>
      <c r="K3384" s="3"/>
      <c r="L3384" s="3"/>
      <c r="M3384" s="3"/>
      <c r="N3384" s="3"/>
    </row>
    <row r="3385" spans="1:14" ht="16.5" customHeight="1">
      <c r="A3385" s="3"/>
      <c r="B3385" s="3"/>
      <c r="C3385" s="3"/>
      <c r="D3385" s="3"/>
      <c r="E3385" s="3"/>
      <c r="F3385" s="3"/>
      <c r="G3385" s="3"/>
      <c r="H3385" s="3"/>
      <c r="I3385" s="3"/>
      <c r="J3385" s="3"/>
      <c r="K3385" s="3"/>
      <c r="L3385" s="3"/>
      <c r="M3385" s="3"/>
      <c r="N3385" s="3"/>
    </row>
    <row r="3386" spans="1:14" ht="16.5" customHeight="1">
      <c r="A3386" s="3"/>
      <c r="B3386" s="3"/>
      <c r="C3386" s="3"/>
      <c r="D3386" s="3"/>
      <c r="E3386" s="3"/>
      <c r="F3386" s="3"/>
      <c r="G3386" s="3"/>
      <c r="H3386" s="3"/>
      <c r="I3386" s="3"/>
      <c r="J3386" s="3"/>
      <c r="K3386" s="3"/>
      <c r="L3386" s="3"/>
      <c r="M3386" s="3"/>
      <c r="N3386" s="3"/>
    </row>
    <row r="3387" spans="1:14" ht="16.5" customHeight="1">
      <c r="A3387" s="3"/>
      <c r="B3387" s="3"/>
      <c r="C3387" s="3"/>
      <c r="D3387" s="3"/>
      <c r="E3387" s="3"/>
      <c r="F3387" s="3"/>
      <c r="G3387" s="3"/>
      <c r="H3387" s="3"/>
      <c r="I3387" s="3"/>
      <c r="J3387" s="3"/>
      <c r="K3387" s="3"/>
      <c r="L3387" s="3"/>
      <c r="M3387" s="3"/>
      <c r="N3387" s="3"/>
    </row>
    <row r="3388" spans="1:14" ht="16.5" customHeight="1">
      <c r="A3388" s="3"/>
      <c r="B3388" s="3"/>
      <c r="C3388" s="3"/>
      <c r="D3388" s="3"/>
      <c r="E3388" s="3"/>
      <c r="F3388" s="3"/>
      <c r="G3388" s="3"/>
      <c r="H3388" s="3"/>
      <c r="I3388" s="3"/>
      <c r="J3388" s="3"/>
      <c r="K3388" s="3"/>
      <c r="L3388" s="3"/>
      <c r="M3388" s="3"/>
      <c r="N3388" s="3"/>
    </row>
    <row r="3389" spans="1:14" ht="16.5" customHeight="1">
      <c r="A3389" s="3"/>
      <c r="B3389" s="3"/>
      <c r="C3389" s="3"/>
      <c r="D3389" s="3"/>
      <c r="E3389" s="3"/>
      <c r="F3389" s="3"/>
      <c r="G3389" s="3"/>
      <c r="H3389" s="3"/>
      <c r="I3389" s="3"/>
      <c r="J3389" s="3"/>
      <c r="K3389" s="3"/>
      <c r="L3389" s="3"/>
      <c r="M3389" s="3"/>
      <c r="N3389" s="3"/>
    </row>
    <row r="3390" spans="1:14" ht="16.5" customHeight="1">
      <c r="A3390" s="3"/>
      <c r="B3390" s="3"/>
      <c r="C3390" s="3"/>
      <c r="D3390" s="3"/>
      <c r="E3390" s="3"/>
      <c r="F3390" s="3"/>
      <c r="G3390" s="3"/>
      <c r="H3390" s="3"/>
      <c r="I3390" s="3"/>
      <c r="J3390" s="3"/>
      <c r="K3390" s="3"/>
      <c r="L3390" s="3"/>
      <c r="M3390" s="3"/>
      <c r="N3390" s="3"/>
    </row>
    <row r="3391" spans="1:14" ht="16.5" customHeight="1">
      <c r="A3391" s="3"/>
      <c r="B3391" s="3"/>
      <c r="C3391" s="3"/>
      <c r="D3391" s="3"/>
      <c r="E3391" s="3"/>
      <c r="F3391" s="3"/>
      <c r="G3391" s="3"/>
      <c r="H3391" s="3"/>
      <c r="I3391" s="3"/>
      <c r="J3391" s="3"/>
      <c r="K3391" s="3"/>
      <c r="L3391" s="3"/>
      <c r="M3391" s="3"/>
      <c r="N3391" s="3"/>
    </row>
    <row r="3392" spans="1:14" ht="16.5" customHeight="1">
      <c r="A3392" s="3"/>
      <c r="B3392" s="3"/>
      <c r="C3392" s="3"/>
      <c r="D3392" s="3"/>
      <c r="E3392" s="3"/>
      <c r="F3392" s="3"/>
      <c r="G3392" s="3"/>
      <c r="H3392" s="3"/>
      <c r="I3392" s="3"/>
      <c r="J3392" s="3"/>
      <c r="K3392" s="3"/>
      <c r="L3392" s="3"/>
      <c r="M3392" s="3"/>
      <c r="N3392" s="3"/>
    </row>
    <row r="3393" spans="1:14" ht="16.5" customHeight="1">
      <c r="A3393" s="3"/>
      <c r="B3393" s="3"/>
      <c r="C3393" s="3"/>
      <c r="D3393" s="3"/>
      <c r="E3393" s="3"/>
      <c r="F3393" s="3"/>
      <c r="G3393" s="3"/>
      <c r="H3393" s="3"/>
      <c r="I3393" s="3"/>
      <c r="J3393" s="3"/>
      <c r="K3393" s="3"/>
      <c r="L3393" s="3"/>
      <c r="M3393" s="3"/>
      <c r="N3393" s="3"/>
    </row>
    <row r="3394" spans="1:14" ht="16.5" customHeight="1">
      <c r="A3394" s="3"/>
      <c r="B3394" s="3"/>
      <c r="C3394" s="3"/>
      <c r="D3394" s="3"/>
      <c r="E3394" s="3"/>
      <c r="F3394" s="3"/>
      <c r="G3394" s="3"/>
      <c r="H3394" s="3"/>
      <c r="I3394" s="3"/>
      <c r="J3394" s="3"/>
      <c r="K3394" s="3"/>
      <c r="L3394" s="3"/>
      <c r="M3394" s="3"/>
      <c r="N3394" s="3"/>
    </row>
    <row r="3395" spans="1:14" ht="16.5" customHeight="1">
      <c r="A3395" s="3"/>
      <c r="B3395" s="3"/>
      <c r="C3395" s="3"/>
      <c r="D3395" s="3"/>
      <c r="E3395" s="3"/>
      <c r="F3395" s="3"/>
      <c r="G3395" s="3"/>
      <c r="H3395" s="3"/>
      <c r="I3395" s="3"/>
      <c r="J3395" s="3"/>
      <c r="K3395" s="3"/>
      <c r="L3395" s="3"/>
      <c r="M3395" s="3"/>
      <c r="N3395" s="3"/>
    </row>
    <row r="3396" spans="1:14" ht="16.5" customHeight="1">
      <c r="A3396" s="3"/>
      <c r="B3396" s="3"/>
      <c r="C3396" s="3"/>
      <c r="D3396" s="3"/>
      <c r="E3396" s="3"/>
      <c r="F3396" s="3"/>
      <c r="G3396" s="3"/>
      <c r="H3396" s="3"/>
      <c r="I3396" s="3"/>
      <c r="J3396" s="3"/>
      <c r="K3396" s="3"/>
      <c r="L3396" s="3"/>
      <c r="M3396" s="3"/>
      <c r="N3396" s="3"/>
    </row>
    <row r="3397" spans="1:14" ht="16.5" customHeight="1">
      <c r="A3397" s="3"/>
      <c r="B3397" s="3"/>
      <c r="C3397" s="3"/>
      <c r="D3397" s="3"/>
      <c r="E3397" s="3"/>
      <c r="F3397" s="3"/>
      <c r="G3397" s="3"/>
      <c r="H3397" s="3"/>
      <c r="I3397" s="3"/>
      <c r="J3397" s="3"/>
      <c r="K3397" s="3"/>
      <c r="L3397" s="3"/>
      <c r="M3397" s="3"/>
      <c r="N3397" s="3"/>
    </row>
    <row r="3398" spans="1:14" ht="16.5" customHeight="1">
      <c r="A3398" s="3"/>
      <c r="B3398" s="3"/>
      <c r="C3398" s="3"/>
      <c r="D3398" s="3"/>
      <c r="E3398" s="3"/>
      <c r="F3398" s="3"/>
      <c r="G3398" s="3"/>
      <c r="H3398" s="3"/>
      <c r="I3398" s="3"/>
      <c r="J3398" s="3"/>
      <c r="K3398" s="3"/>
      <c r="L3398" s="3"/>
      <c r="M3398" s="3"/>
      <c r="N3398" s="3"/>
    </row>
    <row r="3399" spans="1:14" ht="16.5" customHeight="1">
      <c r="A3399" s="3"/>
      <c r="B3399" s="3"/>
      <c r="C3399" s="3"/>
      <c r="D3399" s="3"/>
      <c r="E3399" s="3"/>
      <c r="F3399" s="3"/>
      <c r="G3399" s="3"/>
      <c r="H3399" s="3"/>
      <c r="I3399" s="3"/>
      <c r="J3399" s="3"/>
      <c r="K3399" s="3"/>
      <c r="L3399" s="3"/>
      <c r="M3399" s="3"/>
      <c r="N3399" s="3"/>
    </row>
    <row r="3400" spans="1:14" ht="16.5" customHeight="1">
      <c r="A3400" s="3"/>
      <c r="B3400" s="3"/>
      <c r="C3400" s="3"/>
      <c r="D3400" s="3"/>
      <c r="E3400" s="3"/>
      <c r="F3400" s="3"/>
      <c r="G3400" s="3"/>
      <c r="H3400" s="3"/>
      <c r="I3400" s="3"/>
      <c r="J3400" s="3"/>
      <c r="K3400" s="3"/>
      <c r="L3400" s="3"/>
      <c r="M3400" s="3"/>
      <c r="N3400" s="3"/>
    </row>
    <row r="3401" spans="1:14" ht="16.5" customHeight="1">
      <c r="A3401" s="3"/>
      <c r="B3401" s="3"/>
      <c r="C3401" s="3"/>
      <c r="D3401" s="3"/>
      <c r="E3401" s="3"/>
      <c r="F3401" s="3"/>
      <c r="G3401" s="3"/>
      <c r="H3401" s="3"/>
      <c r="I3401" s="3"/>
      <c r="J3401" s="3"/>
      <c r="K3401" s="3"/>
      <c r="L3401" s="3"/>
      <c r="M3401" s="3"/>
      <c r="N3401" s="3"/>
    </row>
    <row r="3402" spans="1:14" ht="16.5" customHeight="1">
      <c r="A3402" s="3"/>
      <c r="B3402" s="3"/>
      <c r="C3402" s="3"/>
      <c r="D3402" s="3"/>
      <c r="E3402" s="3"/>
      <c r="F3402" s="3"/>
      <c r="G3402" s="3"/>
      <c r="H3402" s="3"/>
      <c r="I3402" s="3"/>
      <c r="J3402" s="3"/>
      <c r="K3402" s="3"/>
      <c r="L3402" s="3"/>
      <c r="M3402" s="3"/>
      <c r="N3402" s="3"/>
    </row>
    <row r="3403" spans="1:14" ht="16.5" customHeight="1">
      <c r="A3403" s="3"/>
      <c r="B3403" s="3"/>
      <c r="C3403" s="3"/>
      <c r="D3403" s="3"/>
      <c r="E3403" s="3"/>
      <c r="F3403" s="3"/>
      <c r="G3403" s="3"/>
      <c r="H3403" s="3"/>
      <c r="I3403" s="3"/>
      <c r="J3403" s="3"/>
      <c r="K3403" s="3"/>
      <c r="L3403" s="3"/>
      <c r="M3403" s="3"/>
      <c r="N3403" s="3"/>
    </row>
    <row r="3404" spans="1:14" ht="16.5" customHeight="1">
      <c r="A3404" s="3"/>
      <c r="B3404" s="3"/>
      <c r="C3404" s="3"/>
      <c r="D3404" s="3"/>
      <c r="E3404" s="3"/>
      <c r="F3404" s="3"/>
      <c r="G3404" s="3"/>
      <c r="H3404" s="3"/>
      <c r="I3404" s="3"/>
      <c r="J3404" s="3"/>
      <c r="K3404" s="3"/>
      <c r="L3404" s="3"/>
      <c r="M3404" s="3"/>
      <c r="N3404" s="3"/>
    </row>
    <row r="3405" spans="1:14" ht="16.5" customHeight="1">
      <c r="A3405" s="3"/>
      <c r="B3405" s="3"/>
      <c r="C3405" s="3"/>
      <c r="D3405" s="3"/>
      <c r="E3405" s="3"/>
      <c r="F3405" s="3"/>
      <c r="G3405" s="3"/>
      <c r="H3405" s="3"/>
      <c r="I3405" s="3"/>
      <c r="J3405" s="3"/>
      <c r="K3405" s="3"/>
      <c r="L3405" s="3"/>
      <c r="M3405" s="3"/>
      <c r="N3405" s="3"/>
    </row>
    <row r="3406" spans="1:14" ht="16.5" customHeight="1">
      <c r="A3406" s="3"/>
      <c r="B3406" s="3"/>
      <c r="C3406" s="3"/>
      <c r="D3406" s="3"/>
      <c r="E3406" s="3"/>
      <c r="F3406" s="3"/>
      <c r="G3406" s="3"/>
      <c r="H3406" s="3"/>
      <c r="I3406" s="3"/>
      <c r="J3406" s="3"/>
      <c r="K3406" s="3"/>
      <c r="L3406" s="3"/>
      <c r="M3406" s="3"/>
      <c r="N3406" s="3"/>
    </row>
    <row r="3407" spans="1:14" ht="16.5" customHeight="1">
      <c r="A3407" s="3"/>
      <c r="B3407" s="3"/>
      <c r="C3407" s="3"/>
      <c r="D3407" s="3"/>
      <c r="E3407" s="3"/>
      <c r="F3407" s="3"/>
      <c r="G3407" s="3"/>
      <c r="H3407" s="3"/>
      <c r="I3407" s="3"/>
      <c r="J3407" s="3"/>
      <c r="K3407" s="3"/>
      <c r="L3407" s="3"/>
      <c r="M3407" s="3"/>
      <c r="N3407" s="3"/>
    </row>
    <row r="3408" spans="1:14" ht="16.5" customHeight="1">
      <c r="A3408" s="3"/>
      <c r="B3408" s="3"/>
      <c r="C3408" s="3"/>
      <c r="D3408" s="3"/>
      <c r="E3408" s="3"/>
      <c r="F3408" s="3"/>
      <c r="G3408" s="3"/>
      <c r="H3408" s="3"/>
      <c r="I3408" s="3"/>
      <c r="J3408" s="3"/>
      <c r="K3408" s="3"/>
      <c r="L3408" s="3"/>
      <c r="M3408" s="3"/>
      <c r="N3408" s="3"/>
    </row>
    <row r="3409" spans="1:14" ht="16.5" customHeight="1">
      <c r="A3409" s="3"/>
      <c r="B3409" s="3"/>
      <c r="C3409" s="3"/>
      <c r="D3409" s="3"/>
      <c r="E3409" s="3"/>
      <c r="F3409" s="3"/>
      <c r="G3409" s="3"/>
      <c r="H3409" s="3"/>
      <c r="I3409" s="3"/>
      <c r="J3409" s="3"/>
      <c r="K3409" s="3"/>
      <c r="L3409" s="3"/>
      <c r="M3409" s="3"/>
      <c r="N3409" s="3"/>
    </row>
    <row r="3410" spans="1:14" ht="16.5" customHeight="1">
      <c r="A3410" s="3"/>
      <c r="B3410" s="3"/>
      <c r="C3410" s="3"/>
      <c r="D3410" s="3"/>
      <c r="E3410" s="3"/>
      <c r="F3410" s="3"/>
      <c r="G3410" s="3"/>
      <c r="H3410" s="3"/>
      <c r="I3410" s="3"/>
      <c r="J3410" s="3"/>
      <c r="K3410" s="3"/>
      <c r="L3410" s="3"/>
      <c r="M3410" s="3"/>
      <c r="N3410" s="3"/>
    </row>
    <row r="3411" spans="1:14" ht="16.5" customHeight="1">
      <c r="A3411" s="3"/>
      <c r="B3411" s="3"/>
      <c r="C3411" s="3"/>
      <c r="D3411" s="3"/>
      <c r="E3411" s="3"/>
      <c r="F3411" s="3"/>
      <c r="G3411" s="3"/>
      <c r="H3411" s="3"/>
      <c r="I3411" s="3"/>
      <c r="J3411" s="3"/>
      <c r="K3411" s="3"/>
      <c r="L3411" s="3"/>
      <c r="M3411" s="3"/>
      <c r="N3411" s="3"/>
    </row>
    <row r="3412" spans="1:14" ht="16.5" customHeight="1">
      <c r="A3412" s="3"/>
      <c r="B3412" s="3"/>
      <c r="C3412" s="3"/>
      <c r="D3412" s="3"/>
      <c r="E3412" s="3"/>
      <c r="F3412" s="3"/>
      <c r="G3412" s="3"/>
      <c r="H3412" s="3"/>
      <c r="I3412" s="3"/>
      <c r="J3412" s="3"/>
      <c r="K3412" s="3"/>
      <c r="L3412" s="3"/>
      <c r="M3412" s="3"/>
      <c r="N3412" s="3"/>
    </row>
    <row r="3413" spans="1:14" ht="16.5" customHeight="1">
      <c r="A3413" s="3"/>
      <c r="B3413" s="3"/>
      <c r="C3413" s="3"/>
      <c r="D3413" s="3"/>
      <c r="E3413" s="3"/>
      <c r="F3413" s="3"/>
      <c r="G3413" s="3"/>
      <c r="H3413" s="3"/>
      <c r="I3413" s="3"/>
      <c r="J3413" s="3"/>
      <c r="K3413" s="3"/>
      <c r="L3413" s="3"/>
      <c r="M3413" s="3"/>
      <c r="N3413" s="3"/>
    </row>
    <row r="3414" spans="1:14" ht="16.5" customHeight="1">
      <c r="A3414" s="3"/>
      <c r="B3414" s="3"/>
      <c r="C3414" s="3"/>
      <c r="D3414" s="3"/>
      <c r="E3414" s="3"/>
      <c r="F3414" s="3"/>
      <c r="G3414" s="3"/>
      <c r="H3414" s="3"/>
      <c r="I3414" s="3"/>
      <c r="J3414" s="3"/>
      <c r="K3414" s="3"/>
      <c r="L3414" s="3"/>
      <c r="M3414" s="3"/>
      <c r="N3414" s="3"/>
    </row>
    <row r="3415" spans="1:14" ht="16.5" customHeight="1">
      <c r="A3415" s="3"/>
      <c r="B3415" s="3"/>
      <c r="C3415" s="3"/>
      <c r="D3415" s="3"/>
      <c r="E3415" s="3"/>
      <c r="F3415" s="3"/>
      <c r="G3415" s="3"/>
      <c r="H3415" s="3"/>
      <c r="I3415" s="3"/>
      <c r="J3415" s="3"/>
      <c r="K3415" s="3"/>
      <c r="L3415" s="3"/>
      <c r="M3415" s="3"/>
      <c r="N3415" s="3"/>
    </row>
    <row r="3416" spans="1:14" ht="16.5" customHeight="1">
      <c r="A3416" s="3"/>
      <c r="B3416" s="3"/>
      <c r="C3416" s="3"/>
      <c r="D3416" s="3"/>
      <c r="E3416" s="3"/>
      <c r="F3416" s="3"/>
      <c r="G3416" s="3"/>
      <c r="H3416" s="3"/>
      <c r="I3416" s="3"/>
      <c r="J3416" s="3"/>
      <c r="K3416" s="3"/>
      <c r="L3416" s="3"/>
      <c r="M3416" s="3"/>
      <c r="N3416" s="3"/>
    </row>
    <row r="3417" spans="1:14" ht="16.5" customHeight="1">
      <c r="A3417" s="3"/>
      <c r="B3417" s="3"/>
      <c r="C3417" s="3"/>
      <c r="D3417" s="3"/>
      <c r="E3417" s="3"/>
      <c r="F3417" s="3"/>
      <c r="G3417" s="3"/>
      <c r="H3417" s="3"/>
      <c r="I3417" s="3"/>
      <c r="J3417" s="3"/>
      <c r="K3417" s="3"/>
      <c r="L3417" s="3"/>
      <c r="M3417" s="3"/>
      <c r="N3417" s="3"/>
    </row>
    <row r="3418" spans="1:14" ht="16.5" customHeight="1">
      <c r="A3418" s="3"/>
      <c r="B3418" s="3"/>
      <c r="C3418" s="3"/>
      <c r="D3418" s="3"/>
      <c r="E3418" s="3"/>
      <c r="F3418" s="3"/>
      <c r="G3418" s="3"/>
      <c r="H3418" s="3"/>
      <c r="I3418" s="3"/>
      <c r="J3418" s="3"/>
      <c r="K3418" s="3"/>
      <c r="L3418" s="3"/>
      <c r="M3418" s="3"/>
      <c r="N3418" s="3"/>
    </row>
    <row r="3419" spans="1:14" ht="16.5" customHeight="1">
      <c r="A3419" s="3"/>
      <c r="B3419" s="3"/>
      <c r="C3419" s="3"/>
      <c r="D3419" s="3"/>
      <c r="E3419" s="3"/>
      <c r="F3419" s="3"/>
      <c r="G3419" s="3"/>
      <c r="H3419" s="3"/>
      <c r="I3419" s="3"/>
      <c r="J3419" s="3"/>
      <c r="K3419" s="3"/>
      <c r="L3419" s="3"/>
      <c r="M3419" s="3"/>
      <c r="N3419" s="3"/>
    </row>
    <row r="3420" spans="1:14" ht="16.5" customHeight="1">
      <c r="A3420" s="3"/>
      <c r="B3420" s="3"/>
      <c r="C3420" s="3"/>
      <c r="D3420" s="3"/>
      <c r="E3420" s="3"/>
      <c r="F3420" s="3"/>
      <c r="G3420" s="3"/>
      <c r="H3420" s="3"/>
      <c r="I3420" s="3"/>
      <c r="J3420" s="3"/>
      <c r="K3420" s="3"/>
      <c r="L3420" s="3"/>
      <c r="M3420" s="3"/>
      <c r="N3420" s="3"/>
    </row>
    <row r="3421" spans="1:14" ht="16.5" customHeight="1">
      <c r="A3421" s="3"/>
      <c r="B3421" s="3"/>
      <c r="C3421" s="3"/>
      <c r="D3421" s="3"/>
      <c r="E3421" s="3"/>
      <c r="F3421" s="3"/>
      <c r="G3421" s="3"/>
      <c r="H3421" s="3"/>
      <c r="I3421" s="3"/>
      <c r="J3421" s="3"/>
      <c r="K3421" s="3"/>
      <c r="L3421" s="3"/>
      <c r="M3421" s="3"/>
      <c r="N3421" s="3"/>
    </row>
    <row r="3422" spans="1:14" ht="16.5" customHeight="1">
      <c r="A3422" s="3"/>
      <c r="B3422" s="3"/>
      <c r="C3422" s="3"/>
      <c r="D3422" s="3"/>
      <c r="E3422" s="3"/>
      <c r="F3422" s="3"/>
      <c r="G3422" s="3"/>
      <c r="H3422" s="3"/>
      <c r="I3422" s="3"/>
      <c r="J3422" s="3"/>
      <c r="K3422" s="3"/>
      <c r="L3422" s="3"/>
      <c r="M3422" s="3"/>
      <c r="N3422" s="3"/>
    </row>
    <row r="3423" spans="1:14" ht="16.5" customHeight="1">
      <c r="A3423" s="3"/>
      <c r="B3423" s="3"/>
      <c r="C3423" s="3"/>
      <c r="D3423" s="3"/>
      <c r="E3423" s="3"/>
      <c r="F3423" s="3"/>
      <c r="G3423" s="3"/>
      <c r="H3423" s="3"/>
      <c r="I3423" s="3"/>
      <c r="J3423" s="3"/>
      <c r="K3423" s="3"/>
      <c r="L3423" s="3"/>
      <c r="M3423" s="3"/>
      <c r="N3423" s="3"/>
    </row>
    <row r="3424" spans="1:14" ht="16.5" customHeight="1">
      <c r="A3424" s="3"/>
      <c r="B3424" s="3"/>
      <c r="C3424" s="3"/>
      <c r="D3424" s="3"/>
      <c r="E3424" s="3"/>
      <c r="F3424" s="3"/>
      <c r="G3424" s="3"/>
      <c r="H3424" s="3"/>
      <c r="I3424" s="3"/>
      <c r="J3424" s="3"/>
      <c r="K3424" s="3"/>
      <c r="L3424" s="3"/>
      <c r="M3424" s="3"/>
      <c r="N3424" s="3"/>
    </row>
    <row r="3425" spans="1:14" ht="16.5" customHeight="1">
      <c r="A3425" s="3"/>
      <c r="B3425" s="3"/>
      <c r="C3425" s="3"/>
      <c r="D3425" s="3"/>
      <c r="E3425" s="3"/>
      <c r="F3425" s="3"/>
      <c r="G3425" s="3"/>
      <c r="H3425" s="3"/>
      <c r="I3425" s="3"/>
      <c r="J3425" s="3"/>
      <c r="K3425" s="3"/>
      <c r="L3425" s="3"/>
      <c r="M3425" s="3"/>
      <c r="N3425" s="3"/>
    </row>
    <row r="3426" spans="1:14" ht="16.5" customHeight="1">
      <c r="A3426" s="3"/>
      <c r="B3426" s="3"/>
      <c r="C3426" s="3"/>
      <c r="D3426" s="3"/>
      <c r="E3426" s="3"/>
      <c r="F3426" s="3"/>
      <c r="G3426" s="3"/>
      <c r="H3426" s="3"/>
      <c r="I3426" s="3"/>
      <c r="J3426" s="3"/>
      <c r="K3426" s="3"/>
      <c r="L3426" s="3"/>
      <c r="M3426" s="3"/>
      <c r="N3426" s="3"/>
    </row>
    <row r="3427" spans="1:14" ht="16.5" customHeight="1">
      <c r="A3427" s="3"/>
      <c r="B3427" s="3"/>
      <c r="C3427" s="3"/>
      <c r="D3427" s="3"/>
      <c r="E3427" s="3"/>
      <c r="F3427" s="3"/>
      <c r="G3427" s="3"/>
      <c r="H3427" s="3"/>
      <c r="I3427" s="3"/>
      <c r="J3427" s="3"/>
      <c r="K3427" s="3"/>
      <c r="L3427" s="3"/>
      <c r="M3427" s="3"/>
      <c r="N3427" s="3"/>
    </row>
    <row r="3428" spans="1:14" ht="16.5" customHeight="1">
      <c r="A3428" s="3"/>
      <c r="B3428" s="3"/>
      <c r="C3428" s="3"/>
      <c r="D3428" s="3"/>
      <c r="E3428" s="3"/>
      <c r="F3428" s="3"/>
      <c r="G3428" s="3"/>
      <c r="H3428" s="3"/>
      <c r="I3428" s="3"/>
      <c r="J3428" s="3"/>
      <c r="K3428" s="3"/>
      <c r="L3428" s="3"/>
      <c r="M3428" s="3"/>
      <c r="N3428" s="3"/>
    </row>
    <row r="3429" spans="1:14" ht="16.5" customHeight="1">
      <c r="A3429" s="3"/>
      <c r="B3429" s="3"/>
      <c r="C3429" s="3"/>
      <c r="D3429" s="3"/>
      <c r="E3429" s="3"/>
      <c r="F3429" s="3"/>
      <c r="G3429" s="3"/>
      <c r="H3429" s="3"/>
      <c r="I3429" s="3"/>
      <c r="J3429" s="3"/>
      <c r="K3429" s="3"/>
      <c r="L3429" s="3"/>
      <c r="M3429" s="3"/>
      <c r="N3429" s="3"/>
    </row>
    <row r="3430" spans="1:14" ht="16.5" customHeight="1">
      <c r="A3430" s="3"/>
      <c r="B3430" s="3"/>
      <c r="C3430" s="3"/>
      <c r="D3430" s="3"/>
      <c r="E3430" s="3"/>
      <c r="F3430" s="3"/>
      <c r="G3430" s="3"/>
      <c r="H3430" s="3"/>
      <c r="I3430" s="3"/>
      <c r="J3430" s="3"/>
      <c r="K3430" s="3"/>
      <c r="L3430" s="3"/>
      <c r="M3430" s="3"/>
      <c r="N3430" s="3"/>
    </row>
    <row r="3431" spans="1:14" ht="16.5" customHeight="1">
      <c r="A3431" s="3"/>
      <c r="B3431" s="3"/>
      <c r="C3431" s="3"/>
      <c r="D3431" s="3"/>
      <c r="E3431" s="3"/>
      <c r="F3431" s="3"/>
      <c r="G3431" s="3"/>
      <c r="H3431" s="3"/>
      <c r="I3431" s="3"/>
      <c r="J3431" s="3"/>
      <c r="K3431" s="3"/>
      <c r="L3431" s="3"/>
      <c r="M3431" s="3"/>
      <c r="N3431" s="3"/>
    </row>
    <row r="3432" spans="1:14" ht="16.5" customHeight="1">
      <c r="A3432" s="3"/>
      <c r="B3432" s="3"/>
      <c r="C3432" s="3"/>
      <c r="D3432" s="3"/>
      <c r="E3432" s="3"/>
      <c r="F3432" s="3"/>
      <c r="G3432" s="3"/>
      <c r="H3432" s="3"/>
      <c r="I3432" s="3"/>
      <c r="J3432" s="3"/>
      <c r="K3432" s="3"/>
      <c r="L3432" s="3"/>
      <c r="M3432" s="3"/>
      <c r="N3432" s="3"/>
    </row>
    <row r="3433" spans="1:14" ht="16.5" customHeight="1">
      <c r="A3433" s="3"/>
      <c r="B3433" s="3"/>
      <c r="C3433" s="3"/>
      <c r="D3433" s="3"/>
      <c r="E3433" s="3"/>
      <c r="F3433" s="3"/>
      <c r="G3433" s="3"/>
      <c r="H3433" s="3"/>
      <c r="I3433" s="3"/>
      <c r="J3433" s="3"/>
      <c r="K3433" s="3"/>
      <c r="L3433" s="3"/>
      <c r="M3433" s="3"/>
      <c r="N3433" s="3"/>
    </row>
    <row r="3434" spans="1:14" ht="16.5" customHeight="1">
      <c r="A3434" s="3"/>
      <c r="B3434" s="3"/>
      <c r="C3434" s="3"/>
      <c r="D3434" s="3"/>
      <c r="E3434" s="3"/>
      <c r="F3434" s="3"/>
      <c r="G3434" s="3"/>
      <c r="H3434" s="3"/>
      <c r="I3434" s="3"/>
      <c r="J3434" s="3"/>
      <c r="K3434" s="3"/>
      <c r="L3434" s="3"/>
      <c r="M3434" s="3"/>
      <c r="N3434" s="3"/>
    </row>
    <row r="3435" spans="1:14" ht="16.5" customHeight="1">
      <c r="A3435" s="3"/>
      <c r="B3435" s="3"/>
      <c r="C3435" s="3"/>
      <c r="D3435" s="3"/>
      <c r="E3435" s="3"/>
      <c r="F3435" s="3"/>
      <c r="G3435" s="3"/>
      <c r="H3435" s="3"/>
      <c r="I3435" s="3"/>
      <c r="J3435" s="3"/>
      <c r="K3435" s="3"/>
      <c r="L3435" s="3"/>
      <c r="M3435" s="3"/>
      <c r="N3435" s="3"/>
    </row>
    <row r="3436" spans="1:14" ht="16.5" customHeight="1">
      <c r="A3436" s="3"/>
      <c r="B3436" s="3"/>
      <c r="C3436" s="3"/>
      <c r="D3436" s="3"/>
      <c r="E3436" s="3"/>
      <c r="F3436" s="3"/>
      <c r="G3436" s="3"/>
      <c r="H3436" s="3"/>
      <c r="I3436" s="3"/>
      <c r="J3436" s="3"/>
      <c r="K3436" s="3"/>
      <c r="L3436" s="3"/>
      <c r="M3436" s="3"/>
      <c r="N3436" s="3"/>
    </row>
    <row r="3437" spans="1:14" ht="16.5" customHeight="1">
      <c r="A3437" s="3"/>
      <c r="B3437" s="3"/>
      <c r="C3437" s="3"/>
      <c r="D3437" s="3"/>
      <c r="E3437" s="3"/>
      <c r="F3437" s="3"/>
      <c r="G3437" s="3"/>
      <c r="H3437" s="3"/>
      <c r="I3437" s="3"/>
      <c r="J3437" s="3"/>
      <c r="K3437" s="3"/>
      <c r="L3437" s="3"/>
      <c r="M3437" s="3"/>
      <c r="N3437" s="3"/>
    </row>
    <row r="3438" spans="1:14" ht="16.5" customHeight="1">
      <c r="A3438" s="3"/>
      <c r="B3438" s="3"/>
      <c r="C3438" s="3"/>
      <c r="D3438" s="3"/>
      <c r="E3438" s="3"/>
      <c r="F3438" s="3"/>
      <c r="G3438" s="3"/>
      <c r="H3438" s="3"/>
      <c r="I3438" s="3"/>
      <c r="J3438" s="3"/>
      <c r="K3438" s="3"/>
      <c r="L3438" s="3"/>
      <c r="M3438" s="3"/>
      <c r="N3438" s="3"/>
    </row>
    <row r="3439" spans="1:14" ht="16.5" customHeight="1">
      <c r="A3439" s="3"/>
      <c r="B3439" s="3"/>
      <c r="C3439" s="3"/>
      <c r="D3439" s="3"/>
      <c r="E3439" s="3"/>
      <c r="F3439" s="3"/>
      <c r="G3439" s="3"/>
      <c r="H3439" s="3"/>
      <c r="I3439" s="3"/>
      <c r="J3439" s="3"/>
      <c r="K3439" s="3"/>
      <c r="L3439" s="3"/>
      <c r="M3439" s="3"/>
      <c r="N3439" s="3"/>
    </row>
    <row r="3440" spans="1:14" ht="16.5" customHeight="1">
      <c r="A3440" s="3"/>
      <c r="B3440" s="3"/>
      <c r="C3440" s="3"/>
      <c r="D3440" s="3"/>
      <c r="E3440" s="3"/>
      <c r="F3440" s="3"/>
      <c r="G3440" s="3"/>
      <c r="H3440" s="3"/>
      <c r="I3440" s="3"/>
      <c r="J3440" s="3"/>
      <c r="K3440" s="3"/>
      <c r="L3440" s="3"/>
      <c r="M3440" s="3"/>
      <c r="N3440" s="3"/>
    </row>
    <row r="3441" spans="1:14" ht="16.5" customHeight="1">
      <c r="A3441" s="3"/>
      <c r="B3441" s="3"/>
      <c r="C3441" s="3"/>
      <c r="D3441" s="3"/>
      <c r="E3441" s="3"/>
      <c r="F3441" s="3"/>
      <c r="G3441" s="3"/>
      <c r="H3441" s="3"/>
      <c r="I3441" s="3"/>
      <c r="J3441" s="3"/>
      <c r="K3441" s="3"/>
      <c r="L3441" s="3"/>
      <c r="M3441" s="3"/>
      <c r="N3441" s="3"/>
    </row>
    <row r="3442" spans="1:14" ht="16.5" customHeight="1">
      <c r="A3442" s="3"/>
      <c r="B3442" s="3"/>
      <c r="C3442" s="3"/>
      <c r="D3442" s="3"/>
      <c r="E3442" s="3"/>
      <c r="F3442" s="3"/>
      <c r="G3442" s="3"/>
      <c r="H3442" s="3"/>
      <c r="I3442" s="3"/>
      <c r="J3442" s="3"/>
      <c r="K3442" s="3"/>
      <c r="L3442" s="3"/>
      <c r="M3442" s="3"/>
      <c r="N3442" s="3"/>
    </row>
    <row r="3443" spans="1:14" ht="16.5" customHeight="1">
      <c r="A3443" s="3"/>
      <c r="B3443" s="3"/>
      <c r="C3443" s="3"/>
      <c r="D3443" s="3"/>
      <c r="E3443" s="3"/>
      <c r="F3443" s="3"/>
      <c r="G3443" s="3"/>
      <c r="H3443" s="3"/>
      <c r="I3443" s="3"/>
      <c r="J3443" s="3"/>
      <c r="K3443" s="3"/>
      <c r="L3443" s="3"/>
      <c r="M3443" s="3"/>
      <c r="N3443" s="3"/>
    </row>
    <row r="3444" spans="1:14" ht="16.5" customHeight="1">
      <c r="A3444" s="3"/>
      <c r="B3444" s="3"/>
      <c r="C3444" s="3"/>
      <c r="D3444" s="3"/>
      <c r="E3444" s="3"/>
      <c r="F3444" s="3"/>
      <c r="G3444" s="3"/>
      <c r="H3444" s="3"/>
      <c r="I3444" s="3"/>
      <c r="J3444" s="3"/>
      <c r="K3444" s="3"/>
      <c r="L3444" s="3"/>
      <c r="M3444" s="3"/>
      <c r="N3444" s="3"/>
    </row>
    <row r="3445" spans="1:14" ht="16.5" customHeight="1">
      <c r="A3445" s="3"/>
      <c r="B3445" s="3"/>
      <c r="C3445" s="3"/>
      <c r="D3445" s="3"/>
      <c r="E3445" s="3"/>
      <c r="F3445" s="3"/>
      <c r="G3445" s="3"/>
      <c r="H3445" s="3"/>
      <c r="I3445" s="3"/>
      <c r="J3445" s="3"/>
      <c r="K3445" s="3"/>
      <c r="L3445" s="3"/>
      <c r="M3445" s="3"/>
      <c r="N3445" s="3"/>
    </row>
    <row r="3446" spans="1:14" ht="16.5" customHeight="1">
      <c r="A3446" s="3"/>
      <c r="B3446" s="3"/>
      <c r="C3446" s="3"/>
      <c r="D3446" s="3"/>
      <c r="E3446" s="3"/>
      <c r="F3446" s="3"/>
      <c r="G3446" s="3"/>
      <c r="H3446" s="3"/>
      <c r="I3446" s="3"/>
      <c r="J3446" s="3"/>
      <c r="K3446" s="3"/>
      <c r="L3446" s="3"/>
      <c r="M3446" s="3"/>
      <c r="N3446" s="3"/>
    </row>
    <row r="3447" spans="1:14" ht="16.5" customHeight="1">
      <c r="A3447" s="3"/>
      <c r="B3447" s="3"/>
      <c r="C3447" s="3"/>
      <c r="D3447" s="3"/>
      <c r="E3447" s="3"/>
      <c r="F3447" s="3"/>
      <c r="G3447" s="3"/>
      <c r="H3447" s="3"/>
      <c r="I3447" s="3"/>
      <c r="J3447" s="3"/>
      <c r="K3447" s="3"/>
      <c r="L3447" s="3"/>
      <c r="M3447" s="3"/>
      <c r="N3447" s="3"/>
    </row>
    <row r="3448" spans="1:14" ht="16.5" customHeight="1">
      <c r="A3448" s="3"/>
      <c r="B3448" s="3"/>
      <c r="C3448" s="3"/>
      <c r="D3448" s="3"/>
      <c r="E3448" s="3"/>
      <c r="F3448" s="3"/>
      <c r="G3448" s="3"/>
      <c r="H3448" s="3"/>
      <c r="I3448" s="3"/>
      <c r="J3448" s="3"/>
      <c r="K3448" s="3"/>
      <c r="L3448" s="3"/>
      <c r="M3448" s="3"/>
      <c r="N3448" s="3"/>
    </row>
    <row r="3449" spans="1:14" ht="16.5" customHeight="1">
      <c r="A3449" s="3"/>
      <c r="B3449" s="3"/>
      <c r="C3449" s="3"/>
      <c r="D3449" s="3"/>
      <c r="E3449" s="3"/>
      <c r="F3449" s="3"/>
      <c r="G3449" s="3"/>
      <c r="H3449" s="3"/>
      <c r="I3449" s="3"/>
      <c r="J3449" s="3"/>
      <c r="K3449" s="3"/>
      <c r="L3449" s="3"/>
      <c r="M3449" s="3"/>
      <c r="N3449" s="3"/>
    </row>
    <row r="3450" spans="1:14" ht="16.5" customHeight="1">
      <c r="A3450" s="3"/>
      <c r="B3450" s="3"/>
      <c r="C3450" s="3"/>
      <c r="D3450" s="3"/>
      <c r="E3450" s="3"/>
      <c r="F3450" s="3"/>
      <c r="G3450" s="3"/>
      <c r="H3450" s="3"/>
      <c r="I3450" s="3"/>
      <c r="J3450" s="3"/>
      <c r="K3450" s="3"/>
      <c r="L3450" s="3"/>
      <c r="M3450" s="3"/>
      <c r="N3450" s="3"/>
    </row>
    <row r="3451" spans="1:14" ht="16.5" customHeight="1">
      <c r="A3451" s="3"/>
      <c r="B3451" s="3"/>
      <c r="C3451" s="3"/>
      <c r="D3451" s="3"/>
      <c r="E3451" s="3"/>
      <c r="F3451" s="3"/>
      <c r="G3451" s="3"/>
      <c r="H3451" s="3"/>
      <c r="I3451" s="3"/>
      <c r="J3451" s="3"/>
      <c r="K3451" s="3"/>
      <c r="L3451" s="3"/>
      <c r="M3451" s="3"/>
      <c r="N3451" s="3"/>
    </row>
    <row r="3452" spans="1:14" ht="16.5" customHeight="1">
      <c r="A3452" s="3"/>
      <c r="B3452" s="3"/>
      <c r="C3452" s="3"/>
      <c r="D3452" s="3"/>
      <c r="E3452" s="3"/>
      <c r="F3452" s="3"/>
      <c r="G3452" s="3"/>
      <c r="H3452" s="3"/>
      <c r="I3452" s="3"/>
      <c r="J3452" s="3"/>
      <c r="K3452" s="3"/>
      <c r="L3452" s="3"/>
      <c r="M3452" s="3"/>
      <c r="N3452" s="3"/>
    </row>
    <row r="3453" spans="1:14" ht="16.5" customHeight="1">
      <c r="A3453" s="3"/>
      <c r="B3453" s="3"/>
      <c r="C3453" s="3"/>
      <c r="D3453" s="3"/>
      <c r="E3453" s="3"/>
      <c r="F3453" s="3"/>
      <c r="G3453" s="3"/>
      <c r="H3453" s="3"/>
      <c r="I3453" s="3"/>
      <c r="J3453" s="3"/>
      <c r="K3453" s="3"/>
      <c r="L3453" s="3"/>
      <c r="M3453" s="3"/>
      <c r="N3453" s="3"/>
    </row>
    <row r="3454" spans="1:14" ht="16.5" customHeight="1">
      <c r="A3454" s="3"/>
      <c r="B3454" s="3"/>
      <c r="C3454" s="3"/>
      <c r="D3454" s="3"/>
      <c r="E3454" s="3"/>
      <c r="F3454" s="3"/>
      <c r="G3454" s="3"/>
      <c r="H3454" s="3"/>
      <c r="I3454" s="3"/>
      <c r="J3454" s="3"/>
      <c r="K3454" s="3"/>
      <c r="L3454" s="3"/>
      <c r="M3454" s="3"/>
      <c r="N3454" s="3"/>
    </row>
    <row r="3455" spans="1:14" ht="16.5" customHeight="1">
      <c r="A3455" s="3"/>
      <c r="B3455" s="3"/>
      <c r="C3455" s="3"/>
      <c r="D3455" s="3"/>
      <c r="E3455" s="3"/>
      <c r="F3455" s="3"/>
      <c r="G3455" s="3"/>
      <c r="H3455" s="3"/>
      <c r="I3455" s="3"/>
      <c r="J3455" s="3"/>
      <c r="K3455" s="3"/>
      <c r="L3455" s="3"/>
      <c r="M3455" s="3"/>
      <c r="N3455" s="3"/>
    </row>
    <row r="3456" spans="1:14" ht="16.5" customHeight="1">
      <c r="A3456" s="3"/>
      <c r="B3456" s="3"/>
      <c r="C3456" s="3"/>
      <c r="D3456" s="3"/>
      <c r="E3456" s="3"/>
      <c r="F3456" s="3"/>
      <c r="G3456" s="3"/>
      <c r="H3456" s="3"/>
      <c r="I3456" s="3"/>
      <c r="J3456" s="3"/>
      <c r="K3456" s="3"/>
      <c r="L3456" s="3"/>
      <c r="M3456" s="3"/>
      <c r="N3456" s="3"/>
    </row>
    <row r="3457" spans="1:14" ht="16.5" customHeight="1">
      <c r="A3457" s="3"/>
      <c r="B3457" s="3"/>
      <c r="C3457" s="3"/>
      <c r="D3457" s="3"/>
      <c r="E3457" s="3"/>
      <c r="F3457" s="3"/>
      <c r="G3457" s="3"/>
      <c r="H3457" s="3"/>
      <c r="I3457" s="3"/>
      <c r="J3457" s="3"/>
      <c r="K3457" s="3"/>
      <c r="L3457" s="3"/>
      <c r="M3457" s="3"/>
      <c r="N3457" s="3"/>
    </row>
    <row r="3458" spans="1:14" ht="16.5" customHeight="1">
      <c r="A3458" s="3"/>
      <c r="B3458" s="3"/>
      <c r="C3458" s="3"/>
      <c r="D3458" s="3"/>
      <c r="E3458" s="3"/>
      <c r="F3458" s="3"/>
      <c r="G3458" s="3"/>
      <c r="H3458" s="3"/>
      <c r="I3458" s="3"/>
      <c r="J3458" s="3"/>
      <c r="K3458" s="3"/>
      <c r="L3458" s="3"/>
      <c r="M3458" s="3"/>
      <c r="N3458" s="3"/>
    </row>
    <row r="3459" spans="1:14" ht="16.5" customHeight="1">
      <c r="A3459" s="3"/>
      <c r="B3459" s="3"/>
      <c r="C3459" s="3"/>
      <c r="D3459" s="3"/>
      <c r="E3459" s="3"/>
      <c r="F3459" s="3"/>
      <c r="G3459" s="3"/>
      <c r="H3459" s="3"/>
      <c r="I3459" s="3"/>
      <c r="J3459" s="3"/>
      <c r="K3459" s="3"/>
      <c r="L3459" s="3"/>
      <c r="M3459" s="3"/>
      <c r="N3459" s="3"/>
    </row>
    <row r="3460" spans="1:14" ht="16.5" customHeight="1">
      <c r="A3460" s="3"/>
      <c r="B3460" s="3"/>
      <c r="C3460" s="3"/>
      <c r="D3460" s="3"/>
      <c r="E3460" s="3"/>
      <c r="F3460" s="3"/>
      <c r="G3460" s="3"/>
      <c r="H3460" s="3"/>
      <c r="I3460" s="3"/>
      <c r="J3460" s="3"/>
      <c r="K3460" s="3"/>
      <c r="L3460" s="3"/>
      <c r="M3460" s="3"/>
      <c r="N3460" s="3"/>
    </row>
    <row r="3461" spans="1:14" ht="16.5" customHeight="1">
      <c r="A3461" s="3"/>
      <c r="B3461" s="3"/>
      <c r="C3461" s="3"/>
      <c r="D3461" s="3"/>
      <c r="E3461" s="3"/>
      <c r="F3461" s="3"/>
      <c r="G3461" s="3"/>
      <c r="H3461" s="3"/>
      <c r="I3461" s="3"/>
      <c r="J3461" s="3"/>
      <c r="K3461" s="3"/>
      <c r="L3461" s="3"/>
      <c r="M3461" s="3"/>
      <c r="N3461" s="3"/>
    </row>
    <row r="3462" spans="1:14" ht="16.5" customHeight="1">
      <c r="A3462" s="3"/>
      <c r="B3462" s="3"/>
      <c r="C3462" s="3"/>
      <c r="D3462" s="3"/>
      <c r="E3462" s="3"/>
      <c r="F3462" s="3"/>
      <c r="G3462" s="3"/>
      <c r="H3462" s="3"/>
      <c r="I3462" s="3"/>
      <c r="J3462" s="3"/>
      <c r="K3462" s="3"/>
      <c r="L3462" s="3"/>
      <c r="M3462" s="3"/>
      <c r="N3462" s="3"/>
    </row>
    <row r="3463" spans="1:14" ht="16.5" customHeight="1">
      <c r="A3463" s="3"/>
      <c r="B3463" s="3"/>
      <c r="C3463" s="3"/>
      <c r="D3463" s="3"/>
      <c r="E3463" s="3"/>
      <c r="F3463" s="3"/>
      <c r="G3463" s="3"/>
      <c r="H3463" s="3"/>
      <c r="I3463" s="3"/>
      <c r="J3463" s="3"/>
      <c r="K3463" s="3"/>
      <c r="L3463" s="3"/>
      <c r="M3463" s="3"/>
      <c r="N3463" s="3"/>
    </row>
    <row r="3464" spans="1:14" ht="16.5" customHeight="1">
      <c r="A3464" s="3"/>
      <c r="B3464" s="3"/>
      <c r="C3464" s="3"/>
      <c r="D3464" s="3"/>
      <c r="E3464" s="3"/>
      <c r="F3464" s="3"/>
      <c r="G3464" s="3"/>
      <c r="H3464" s="3"/>
      <c r="I3464" s="3"/>
      <c r="J3464" s="3"/>
      <c r="K3464" s="3"/>
      <c r="L3464" s="3"/>
      <c r="M3464" s="3"/>
      <c r="N3464" s="3"/>
    </row>
    <row r="3465" spans="1:14" ht="16.5" customHeight="1">
      <c r="A3465" s="3"/>
      <c r="B3465" s="3"/>
      <c r="C3465" s="3"/>
      <c r="D3465" s="3"/>
      <c r="E3465" s="3"/>
      <c r="F3465" s="3"/>
      <c r="G3465" s="3"/>
      <c r="H3465" s="3"/>
      <c r="I3465" s="3"/>
      <c r="J3465" s="3"/>
      <c r="K3465" s="3"/>
      <c r="L3465" s="3"/>
      <c r="M3465" s="3"/>
      <c r="N3465" s="3"/>
    </row>
    <row r="3466" spans="1:14" ht="16.5" customHeight="1">
      <c r="A3466" s="3"/>
      <c r="B3466" s="3"/>
      <c r="C3466" s="3"/>
      <c r="D3466" s="3"/>
      <c r="E3466" s="3"/>
      <c r="F3466" s="3"/>
      <c r="G3466" s="3"/>
      <c r="H3466" s="3"/>
      <c r="I3466" s="3"/>
      <c r="J3466" s="3"/>
      <c r="K3466" s="3"/>
      <c r="L3466" s="3"/>
      <c r="M3466" s="3"/>
      <c r="N3466" s="3"/>
    </row>
    <row r="3467" spans="1:14" ht="16.5" customHeight="1">
      <c r="A3467" s="3"/>
      <c r="B3467" s="3"/>
      <c r="C3467" s="3"/>
      <c r="D3467" s="3"/>
      <c r="E3467" s="3"/>
      <c r="F3467" s="3"/>
      <c r="G3467" s="3"/>
      <c r="H3467" s="3"/>
      <c r="I3467" s="3"/>
      <c r="J3467" s="3"/>
      <c r="K3467" s="3"/>
      <c r="L3467" s="3"/>
      <c r="M3467" s="3"/>
      <c r="N3467" s="3"/>
    </row>
    <row r="3468" spans="1:14" ht="16.5" customHeight="1">
      <c r="A3468" s="3"/>
      <c r="B3468" s="3"/>
      <c r="C3468" s="3"/>
      <c r="D3468" s="3"/>
      <c r="E3468" s="3"/>
      <c r="F3468" s="3"/>
      <c r="G3468" s="3"/>
      <c r="H3468" s="3"/>
      <c r="I3468" s="3"/>
      <c r="J3468" s="3"/>
      <c r="K3468" s="3"/>
      <c r="L3468" s="3"/>
      <c r="M3468" s="3"/>
      <c r="N3468" s="3"/>
    </row>
    <row r="3469" spans="1:14" ht="16.5" customHeight="1">
      <c r="A3469" s="3"/>
      <c r="B3469" s="3"/>
      <c r="C3469" s="3"/>
      <c r="D3469" s="3"/>
      <c r="E3469" s="3"/>
      <c r="F3469" s="3"/>
      <c r="G3469" s="3"/>
      <c r="H3469" s="3"/>
      <c r="I3469" s="3"/>
      <c r="J3469" s="3"/>
      <c r="K3469" s="3"/>
      <c r="L3469" s="3"/>
      <c r="M3469" s="3"/>
      <c r="N3469" s="3"/>
    </row>
    <row r="3470" spans="1:14" ht="16.5" customHeight="1">
      <c r="A3470" s="3"/>
      <c r="B3470" s="3"/>
      <c r="C3470" s="3"/>
      <c r="D3470" s="3"/>
      <c r="E3470" s="3"/>
      <c r="F3470" s="3"/>
      <c r="G3470" s="3"/>
      <c r="H3470" s="3"/>
      <c r="I3470" s="3"/>
      <c r="J3470" s="3"/>
      <c r="K3470" s="3"/>
      <c r="L3470" s="3"/>
      <c r="M3470" s="3"/>
      <c r="N3470" s="3"/>
    </row>
    <row r="3471" spans="1:14" ht="16.5" customHeight="1">
      <c r="A3471" s="3"/>
      <c r="B3471" s="3"/>
      <c r="C3471" s="3"/>
      <c r="D3471" s="3"/>
      <c r="E3471" s="3"/>
      <c r="F3471" s="3"/>
      <c r="G3471" s="3"/>
      <c r="H3471" s="3"/>
      <c r="I3471" s="3"/>
      <c r="J3471" s="3"/>
      <c r="K3471" s="3"/>
      <c r="L3471" s="3"/>
      <c r="M3471" s="3"/>
      <c r="N3471" s="3"/>
    </row>
    <row r="3472" spans="1:14" ht="16.5" customHeight="1">
      <c r="A3472" s="3"/>
      <c r="B3472" s="3"/>
      <c r="C3472" s="3"/>
      <c r="D3472" s="3"/>
      <c r="E3472" s="3"/>
      <c r="F3472" s="3"/>
      <c r="G3472" s="3"/>
      <c r="H3472" s="3"/>
      <c r="I3472" s="3"/>
      <c r="J3472" s="3"/>
      <c r="K3472" s="3"/>
      <c r="L3472" s="3"/>
      <c r="M3472" s="3"/>
      <c r="N3472" s="3"/>
    </row>
    <row r="3473" spans="1:14" ht="16.5" customHeight="1">
      <c r="A3473" s="3"/>
      <c r="B3473" s="3"/>
      <c r="C3473" s="3"/>
      <c r="D3473" s="3"/>
      <c r="E3473" s="3"/>
      <c r="F3473" s="3"/>
      <c r="G3473" s="3"/>
      <c r="H3473" s="3"/>
      <c r="I3473" s="3"/>
      <c r="J3473" s="3"/>
      <c r="K3473" s="3"/>
      <c r="L3473" s="3"/>
      <c r="M3473" s="3"/>
      <c r="N3473" s="3"/>
    </row>
    <row r="3474" spans="1:14" ht="16.5" customHeight="1">
      <c r="A3474" s="3"/>
      <c r="B3474" s="3"/>
      <c r="C3474" s="3"/>
      <c r="D3474" s="3"/>
      <c r="E3474" s="3"/>
      <c r="F3474" s="3"/>
      <c r="G3474" s="3"/>
      <c r="H3474" s="3"/>
      <c r="I3474" s="3"/>
      <c r="J3474" s="3"/>
      <c r="K3474" s="3"/>
      <c r="L3474" s="3"/>
      <c r="M3474" s="3"/>
      <c r="N3474" s="3"/>
    </row>
    <row r="3475" spans="1:14" ht="16.5" customHeight="1">
      <c r="A3475" s="3"/>
      <c r="B3475" s="3"/>
      <c r="C3475" s="3"/>
      <c r="D3475" s="3"/>
      <c r="E3475" s="3"/>
      <c r="F3475" s="3"/>
      <c r="G3475" s="3"/>
      <c r="H3475" s="3"/>
      <c r="I3475" s="3"/>
      <c r="J3475" s="3"/>
      <c r="K3475" s="3"/>
      <c r="L3475" s="3"/>
      <c r="M3475" s="3"/>
      <c r="N3475" s="3"/>
    </row>
    <row r="3476" spans="1:14" ht="16.5" customHeight="1">
      <c r="A3476" s="3"/>
      <c r="B3476" s="3"/>
      <c r="C3476" s="3"/>
      <c r="D3476" s="3"/>
      <c r="E3476" s="3"/>
      <c r="F3476" s="3"/>
      <c r="G3476" s="3"/>
      <c r="H3476" s="3"/>
      <c r="I3476" s="3"/>
      <c r="J3476" s="3"/>
      <c r="K3476" s="3"/>
      <c r="L3476" s="3"/>
      <c r="M3476" s="3"/>
      <c r="N3476" s="3"/>
    </row>
    <row r="3477" spans="1:14" ht="16.5" customHeight="1">
      <c r="A3477" s="3"/>
      <c r="B3477" s="3"/>
      <c r="C3477" s="3"/>
      <c r="D3477" s="3"/>
      <c r="E3477" s="3"/>
      <c r="F3477" s="3"/>
      <c r="G3477" s="3"/>
      <c r="H3477" s="3"/>
      <c r="I3477" s="3"/>
      <c r="J3477" s="3"/>
      <c r="K3477" s="3"/>
      <c r="L3477" s="3"/>
      <c r="M3477" s="3"/>
      <c r="N3477" s="3"/>
    </row>
    <row r="3478" spans="1:14" ht="16.5" customHeight="1">
      <c r="A3478" s="3"/>
      <c r="B3478" s="3"/>
      <c r="C3478" s="3"/>
      <c r="D3478" s="3"/>
      <c r="E3478" s="3"/>
      <c r="F3478" s="3"/>
      <c r="G3478" s="3"/>
      <c r="H3478" s="3"/>
      <c r="I3478" s="3"/>
      <c r="J3478" s="3"/>
      <c r="K3478" s="3"/>
      <c r="L3478" s="3"/>
      <c r="M3478" s="3"/>
      <c r="N3478" s="3"/>
    </row>
    <row r="3479" spans="1:14" ht="16.5" customHeight="1">
      <c r="A3479" s="3"/>
      <c r="B3479" s="3"/>
      <c r="C3479" s="3"/>
      <c r="D3479" s="3"/>
      <c r="E3479" s="3"/>
      <c r="F3479" s="3"/>
      <c r="G3479" s="3"/>
      <c r="H3479" s="3"/>
      <c r="I3479" s="3"/>
      <c r="J3479" s="3"/>
      <c r="K3479" s="3"/>
      <c r="L3479" s="3"/>
      <c r="M3479" s="3"/>
      <c r="N3479" s="3"/>
    </row>
    <row r="3480" spans="1:14" ht="16.5" customHeight="1">
      <c r="A3480" s="3"/>
      <c r="B3480" s="3"/>
      <c r="C3480" s="3"/>
      <c r="D3480" s="3"/>
      <c r="E3480" s="3"/>
      <c r="F3480" s="3"/>
      <c r="G3480" s="3"/>
      <c r="H3480" s="3"/>
      <c r="I3480" s="3"/>
      <c r="J3480" s="3"/>
      <c r="K3480" s="3"/>
      <c r="L3480" s="3"/>
      <c r="M3480" s="3"/>
      <c r="N3480" s="3"/>
    </row>
    <row r="3481" spans="1:14" ht="16.5" customHeight="1">
      <c r="A3481" s="3"/>
      <c r="B3481" s="3"/>
      <c r="C3481" s="3"/>
      <c r="D3481" s="3"/>
      <c r="E3481" s="3"/>
      <c r="F3481" s="3"/>
      <c r="G3481" s="3"/>
      <c r="H3481" s="3"/>
      <c r="I3481" s="3"/>
      <c r="J3481" s="3"/>
      <c r="K3481" s="3"/>
      <c r="L3481" s="3"/>
      <c r="M3481" s="3"/>
      <c r="N3481" s="3"/>
    </row>
    <row r="3482" spans="1:14" ht="16.5" customHeight="1">
      <c r="A3482" s="3"/>
      <c r="B3482" s="3"/>
      <c r="C3482" s="3"/>
      <c r="D3482" s="3"/>
      <c r="E3482" s="3"/>
      <c r="F3482" s="3"/>
      <c r="G3482" s="3"/>
      <c r="H3482" s="3"/>
      <c r="I3482" s="3"/>
      <c r="J3482" s="3"/>
      <c r="K3482" s="3"/>
      <c r="L3482" s="3"/>
      <c r="M3482" s="3"/>
      <c r="N3482" s="3"/>
    </row>
    <row r="3483" spans="1:14" ht="16.5" customHeight="1">
      <c r="A3483" s="3"/>
      <c r="B3483" s="3"/>
      <c r="C3483" s="3"/>
      <c r="D3483" s="3"/>
      <c r="E3483" s="3"/>
      <c r="F3483" s="3"/>
      <c r="G3483" s="3"/>
      <c r="H3483" s="3"/>
      <c r="I3483" s="3"/>
      <c r="J3483" s="3"/>
      <c r="K3483" s="3"/>
      <c r="L3483" s="3"/>
      <c r="M3483" s="3"/>
      <c r="N3483" s="3"/>
    </row>
    <row r="3484" spans="1:14" ht="16.5" customHeight="1">
      <c r="A3484" s="3"/>
      <c r="B3484" s="3"/>
      <c r="C3484" s="3"/>
      <c r="D3484" s="3"/>
      <c r="E3484" s="3"/>
      <c r="F3484" s="3"/>
      <c r="G3484" s="3"/>
      <c r="H3484" s="3"/>
      <c r="I3484" s="3"/>
      <c r="J3484" s="3"/>
      <c r="K3484" s="3"/>
      <c r="L3484" s="3"/>
      <c r="M3484" s="3"/>
      <c r="N3484" s="3"/>
    </row>
    <row r="3485" spans="1:14" ht="16.5" customHeight="1">
      <c r="A3485" s="3"/>
      <c r="B3485" s="3"/>
      <c r="C3485" s="3"/>
      <c r="D3485" s="3"/>
      <c r="E3485" s="3"/>
      <c r="F3485" s="3"/>
      <c r="G3485" s="3"/>
      <c r="H3485" s="3"/>
      <c r="I3485" s="3"/>
      <c r="J3485" s="3"/>
      <c r="K3485" s="3"/>
      <c r="L3485" s="3"/>
      <c r="M3485" s="3"/>
      <c r="N3485" s="3"/>
    </row>
    <row r="3486" spans="1:14" ht="16.5" customHeight="1">
      <c r="A3486" s="3"/>
      <c r="B3486" s="3"/>
      <c r="C3486" s="3"/>
      <c r="D3486" s="3"/>
      <c r="E3486" s="3"/>
      <c r="F3486" s="3"/>
      <c r="G3486" s="3"/>
      <c r="H3486" s="3"/>
      <c r="I3486" s="3"/>
      <c r="J3486" s="3"/>
      <c r="K3486" s="3"/>
      <c r="L3486" s="3"/>
      <c r="M3486" s="3"/>
      <c r="N3486" s="3"/>
    </row>
    <row r="3487" spans="1:14" ht="16.5" customHeight="1">
      <c r="A3487" s="3"/>
      <c r="B3487" s="3"/>
      <c r="C3487" s="3"/>
      <c r="D3487" s="3"/>
      <c r="E3487" s="3"/>
      <c r="F3487" s="3"/>
      <c r="G3487" s="3"/>
      <c r="H3487" s="3"/>
      <c r="I3487" s="3"/>
      <c r="J3487" s="3"/>
      <c r="K3487" s="3"/>
      <c r="L3487" s="3"/>
      <c r="M3487" s="3"/>
      <c r="N3487" s="3"/>
    </row>
    <row r="3488" spans="1:14" ht="16.5" customHeight="1">
      <c r="A3488" s="3"/>
      <c r="B3488" s="3"/>
      <c r="C3488" s="3"/>
      <c r="D3488" s="3"/>
      <c r="E3488" s="3"/>
      <c r="F3488" s="3"/>
      <c r="G3488" s="3"/>
      <c r="H3488" s="3"/>
      <c r="I3488" s="3"/>
      <c r="J3488" s="3"/>
      <c r="K3488" s="3"/>
      <c r="L3488" s="3"/>
      <c r="M3488" s="3"/>
      <c r="N3488" s="3"/>
    </row>
    <row r="3489" spans="1:14" ht="16.5" customHeight="1">
      <c r="A3489" s="3"/>
      <c r="B3489" s="3"/>
      <c r="C3489" s="3"/>
      <c r="D3489" s="3"/>
      <c r="E3489" s="3"/>
      <c r="F3489" s="3"/>
      <c r="G3489" s="3"/>
      <c r="H3489" s="3"/>
      <c r="I3489" s="3"/>
      <c r="J3489" s="3"/>
      <c r="K3489" s="3"/>
      <c r="L3489" s="3"/>
      <c r="M3489" s="3"/>
      <c r="N3489" s="3"/>
    </row>
    <row r="3490" spans="1:14" ht="16.5" customHeight="1">
      <c r="A3490" s="3"/>
      <c r="B3490" s="3"/>
      <c r="C3490" s="3"/>
      <c r="D3490" s="3"/>
      <c r="E3490" s="3"/>
      <c r="F3490" s="3"/>
      <c r="G3490" s="3"/>
      <c r="H3490" s="3"/>
      <c r="I3490" s="3"/>
      <c r="J3490" s="3"/>
      <c r="K3490" s="3"/>
      <c r="L3490" s="3"/>
      <c r="M3490" s="3"/>
      <c r="N3490" s="3"/>
    </row>
    <row r="3491" spans="1:14" ht="16.5" customHeight="1">
      <c r="A3491" s="3"/>
      <c r="B3491" s="3"/>
      <c r="C3491" s="3"/>
      <c r="D3491" s="3"/>
      <c r="E3491" s="3"/>
      <c r="F3491" s="3"/>
      <c r="G3491" s="3"/>
      <c r="H3491" s="3"/>
      <c r="I3491" s="3"/>
      <c r="J3491" s="3"/>
      <c r="K3491" s="3"/>
      <c r="L3491" s="3"/>
      <c r="M3491" s="3"/>
      <c r="N3491" s="3"/>
    </row>
    <row r="3492" spans="1:14" ht="16.5" customHeight="1">
      <c r="A3492" s="3"/>
      <c r="B3492" s="3"/>
      <c r="C3492" s="3"/>
      <c r="D3492" s="3"/>
      <c r="E3492" s="3"/>
      <c r="F3492" s="3"/>
      <c r="G3492" s="3"/>
      <c r="H3492" s="3"/>
      <c r="I3492" s="3"/>
      <c r="J3492" s="3"/>
      <c r="K3492" s="3"/>
      <c r="L3492" s="3"/>
      <c r="M3492" s="3"/>
      <c r="N3492" s="3"/>
    </row>
    <row r="3493" spans="1:14" ht="16.5" customHeight="1">
      <c r="A3493" s="3"/>
      <c r="B3493" s="3"/>
      <c r="C3493" s="3"/>
      <c r="D3493" s="3"/>
      <c r="E3493" s="3"/>
      <c r="F3493" s="3"/>
      <c r="G3493" s="3"/>
      <c r="H3493" s="3"/>
      <c r="I3493" s="3"/>
      <c r="J3493" s="3"/>
      <c r="K3493" s="3"/>
      <c r="L3493" s="3"/>
      <c r="M3493" s="3"/>
      <c r="N3493" s="3"/>
    </row>
    <row r="3494" spans="1:14" ht="16.5" customHeight="1">
      <c r="A3494" s="3"/>
      <c r="B3494" s="3"/>
      <c r="C3494" s="3"/>
      <c r="D3494" s="3"/>
      <c r="E3494" s="3"/>
      <c r="F3494" s="3"/>
      <c r="G3494" s="3"/>
      <c r="H3494" s="3"/>
      <c r="I3494" s="3"/>
      <c r="J3494" s="3"/>
      <c r="K3494" s="3"/>
      <c r="L3494" s="3"/>
      <c r="M3494" s="3"/>
      <c r="N3494" s="3"/>
    </row>
    <row r="3495" spans="1:14" ht="16.5" customHeight="1">
      <c r="A3495" s="3"/>
      <c r="B3495" s="3"/>
      <c r="C3495" s="3"/>
      <c r="D3495" s="3"/>
      <c r="E3495" s="3"/>
      <c r="F3495" s="3"/>
      <c r="G3495" s="3"/>
      <c r="H3495" s="3"/>
      <c r="I3495" s="3"/>
      <c r="J3495" s="3"/>
      <c r="K3495" s="3"/>
      <c r="L3495" s="3"/>
      <c r="M3495" s="3"/>
      <c r="N3495" s="3"/>
    </row>
    <row r="3496" spans="1:14" ht="16.5" customHeight="1">
      <c r="A3496" s="3"/>
      <c r="B3496" s="3"/>
      <c r="C3496" s="3"/>
      <c r="D3496" s="3"/>
      <c r="E3496" s="3"/>
      <c r="F3496" s="3"/>
      <c r="G3496" s="3"/>
      <c r="H3496" s="3"/>
      <c r="I3496" s="3"/>
      <c r="J3496" s="3"/>
      <c r="K3496" s="3"/>
      <c r="L3496" s="3"/>
      <c r="M3496" s="3"/>
      <c r="N3496" s="3"/>
    </row>
    <row r="3497" spans="1:14" ht="16.5" customHeight="1">
      <c r="A3497" s="3"/>
      <c r="B3497" s="3"/>
      <c r="C3497" s="3"/>
      <c r="D3497" s="3"/>
      <c r="E3497" s="3"/>
      <c r="F3497" s="3"/>
      <c r="G3497" s="3"/>
      <c r="H3497" s="3"/>
      <c r="I3497" s="3"/>
      <c r="J3497" s="3"/>
      <c r="K3497" s="3"/>
      <c r="L3497" s="3"/>
      <c r="M3497" s="3"/>
      <c r="N3497" s="3"/>
    </row>
    <row r="3498" spans="1:14" ht="16.5" customHeight="1">
      <c r="A3498" s="3"/>
      <c r="B3498" s="3"/>
      <c r="C3498" s="3"/>
      <c r="D3498" s="3"/>
      <c r="E3498" s="3"/>
      <c r="F3498" s="3"/>
      <c r="G3498" s="3"/>
      <c r="H3498" s="3"/>
      <c r="I3498" s="3"/>
      <c r="J3498" s="3"/>
      <c r="K3498" s="3"/>
      <c r="L3498" s="3"/>
      <c r="M3498" s="3"/>
      <c r="N3498" s="3"/>
    </row>
    <row r="3499" spans="1:14" ht="16.5" customHeight="1">
      <c r="A3499" s="3"/>
      <c r="B3499" s="3"/>
      <c r="C3499" s="3"/>
      <c r="D3499" s="3"/>
      <c r="E3499" s="3"/>
      <c r="F3499" s="3"/>
      <c r="G3499" s="3"/>
      <c r="H3499" s="3"/>
      <c r="I3499" s="3"/>
      <c r="J3499" s="3"/>
      <c r="K3499" s="3"/>
      <c r="L3499" s="3"/>
      <c r="M3499" s="3"/>
      <c r="N3499" s="3"/>
    </row>
    <row r="3500" spans="1:14" ht="16.5" customHeight="1">
      <c r="A3500" s="3"/>
      <c r="B3500" s="3"/>
      <c r="C3500" s="3"/>
      <c r="D3500" s="3"/>
      <c r="E3500" s="3"/>
      <c r="F3500" s="3"/>
      <c r="G3500" s="3"/>
      <c r="H3500" s="3"/>
      <c r="I3500" s="3"/>
      <c r="J3500" s="3"/>
      <c r="K3500" s="3"/>
      <c r="L3500" s="3"/>
      <c r="M3500" s="3"/>
      <c r="N3500" s="3"/>
    </row>
    <row r="3501" spans="1:14" ht="16.5" customHeight="1">
      <c r="A3501" s="3"/>
      <c r="B3501" s="3"/>
      <c r="C3501" s="3"/>
      <c r="D3501" s="3"/>
      <c r="E3501" s="3"/>
      <c r="F3501" s="3"/>
      <c r="G3501" s="3"/>
      <c r="H3501" s="3"/>
      <c r="I3501" s="3"/>
      <c r="J3501" s="3"/>
      <c r="K3501" s="3"/>
      <c r="L3501" s="3"/>
      <c r="M3501" s="3"/>
      <c r="N3501" s="3"/>
    </row>
    <row r="3502" spans="1:14" ht="16.5" customHeight="1">
      <c r="A3502" s="3"/>
      <c r="B3502" s="3"/>
      <c r="C3502" s="3"/>
      <c r="D3502" s="3"/>
      <c r="E3502" s="3"/>
      <c r="F3502" s="3"/>
      <c r="G3502" s="3"/>
      <c r="H3502" s="3"/>
      <c r="I3502" s="3"/>
      <c r="J3502" s="3"/>
      <c r="K3502" s="3"/>
      <c r="L3502" s="3"/>
      <c r="M3502" s="3"/>
      <c r="N3502" s="3"/>
    </row>
    <row r="3503" spans="1:14" ht="16.5" customHeight="1">
      <c r="A3503" s="3"/>
      <c r="B3503" s="3"/>
      <c r="C3503" s="3"/>
      <c r="D3503" s="3"/>
      <c r="E3503" s="3"/>
      <c r="F3503" s="3"/>
      <c r="G3503" s="3"/>
      <c r="H3503" s="3"/>
      <c r="I3503" s="3"/>
      <c r="J3503" s="3"/>
      <c r="K3503" s="3"/>
      <c r="L3503" s="3"/>
      <c r="M3503" s="3"/>
      <c r="N3503" s="3"/>
    </row>
    <row r="3504" spans="1:14" ht="16.5" customHeight="1">
      <c r="A3504" s="3"/>
      <c r="B3504" s="3"/>
      <c r="C3504" s="3"/>
      <c r="D3504" s="3"/>
      <c r="E3504" s="3"/>
      <c r="F3504" s="3"/>
      <c r="G3504" s="3"/>
      <c r="H3504" s="3"/>
      <c r="I3504" s="3"/>
      <c r="J3504" s="3"/>
      <c r="K3504" s="3"/>
      <c r="L3504" s="3"/>
      <c r="M3504" s="3"/>
      <c r="N3504" s="3"/>
    </row>
    <row r="3505" spans="1:14" ht="16.5" customHeight="1">
      <c r="A3505" s="3"/>
      <c r="B3505" s="3"/>
      <c r="C3505" s="3"/>
      <c r="D3505" s="3"/>
      <c r="E3505" s="3"/>
      <c r="F3505" s="3"/>
      <c r="G3505" s="3"/>
      <c r="H3505" s="3"/>
      <c r="I3505" s="3"/>
      <c r="J3505" s="3"/>
      <c r="K3505" s="3"/>
      <c r="L3505" s="3"/>
      <c r="M3505" s="3"/>
      <c r="N3505" s="3"/>
    </row>
    <row r="3506" spans="1:14" ht="16.5" customHeight="1">
      <c r="A3506" s="3"/>
      <c r="B3506" s="3"/>
      <c r="C3506" s="3"/>
      <c r="D3506" s="3"/>
      <c r="E3506" s="3"/>
      <c r="F3506" s="3"/>
      <c r="G3506" s="3"/>
      <c r="H3506" s="3"/>
      <c r="I3506" s="3"/>
      <c r="J3506" s="3"/>
      <c r="K3506" s="3"/>
      <c r="L3506" s="3"/>
      <c r="M3506" s="3"/>
      <c r="N3506" s="3"/>
    </row>
    <row r="3507" spans="1:14" ht="16.5" customHeight="1">
      <c r="A3507" s="3"/>
      <c r="B3507" s="3"/>
      <c r="C3507" s="3"/>
      <c r="D3507" s="3"/>
      <c r="E3507" s="3"/>
      <c r="F3507" s="3"/>
      <c r="G3507" s="3"/>
      <c r="H3507" s="3"/>
      <c r="I3507" s="3"/>
      <c r="J3507" s="3"/>
      <c r="K3507" s="3"/>
      <c r="L3507" s="3"/>
      <c r="M3507" s="3"/>
      <c r="N3507" s="3"/>
    </row>
    <row r="3508" spans="1:14" ht="16.5" customHeight="1">
      <c r="A3508" s="3"/>
      <c r="B3508" s="3"/>
      <c r="C3508" s="3"/>
      <c r="D3508" s="3"/>
      <c r="E3508" s="3"/>
      <c r="F3508" s="3"/>
      <c r="G3508" s="3"/>
      <c r="H3508" s="3"/>
      <c r="I3508" s="3"/>
      <c r="J3508" s="3"/>
      <c r="K3508" s="3"/>
      <c r="L3508" s="3"/>
      <c r="M3508" s="3"/>
      <c r="N3508" s="3"/>
    </row>
    <row r="3509" spans="1:14" ht="16.5" customHeight="1">
      <c r="A3509" s="3"/>
      <c r="B3509" s="3"/>
      <c r="C3509" s="3"/>
      <c r="D3509" s="3"/>
      <c r="E3509" s="3"/>
      <c r="F3509" s="3"/>
      <c r="G3509" s="3"/>
      <c r="H3509" s="3"/>
      <c r="I3509" s="3"/>
      <c r="J3509" s="3"/>
      <c r="K3509" s="3"/>
      <c r="L3509" s="3"/>
      <c r="M3509" s="3"/>
      <c r="N3509" s="3"/>
    </row>
    <row r="3510" spans="1:14" ht="16.5" customHeight="1">
      <c r="A3510" s="3"/>
      <c r="B3510" s="3"/>
      <c r="C3510" s="3"/>
      <c r="D3510" s="3"/>
      <c r="E3510" s="3"/>
      <c r="F3510" s="3"/>
      <c r="G3510" s="3"/>
      <c r="H3510" s="3"/>
      <c r="I3510" s="3"/>
      <c r="J3510" s="3"/>
      <c r="K3510" s="3"/>
      <c r="L3510" s="3"/>
      <c r="M3510" s="3"/>
      <c r="N3510" s="3"/>
    </row>
    <row r="3511" spans="1:14" ht="16.5" customHeight="1">
      <c r="A3511" s="3"/>
      <c r="B3511" s="3"/>
      <c r="C3511" s="3"/>
      <c r="D3511" s="3"/>
      <c r="E3511" s="3"/>
      <c r="F3511" s="3"/>
      <c r="G3511" s="3"/>
      <c r="H3511" s="3"/>
      <c r="I3511" s="3"/>
      <c r="J3511" s="3"/>
      <c r="K3511" s="3"/>
      <c r="L3511" s="3"/>
      <c r="M3511" s="3"/>
      <c r="N3511" s="3"/>
    </row>
    <row r="3512" spans="1:14" ht="16.5" customHeight="1">
      <c r="A3512" s="3"/>
      <c r="B3512" s="3"/>
      <c r="C3512" s="3"/>
      <c r="D3512" s="3"/>
      <c r="E3512" s="3"/>
      <c r="F3512" s="3"/>
      <c r="G3512" s="3"/>
      <c r="H3512" s="3"/>
      <c r="I3512" s="3"/>
      <c r="J3512" s="3"/>
      <c r="K3512" s="3"/>
      <c r="L3512" s="3"/>
      <c r="M3512" s="3"/>
      <c r="N3512" s="3"/>
    </row>
    <row r="3513" spans="1:14" ht="16.5" customHeight="1">
      <c r="A3513" s="3"/>
      <c r="B3513" s="3"/>
      <c r="C3513" s="3"/>
      <c r="D3513" s="3"/>
      <c r="E3513" s="3"/>
      <c r="F3513" s="3"/>
      <c r="G3513" s="3"/>
      <c r="H3513" s="3"/>
      <c r="I3513" s="3"/>
      <c r="J3513" s="3"/>
      <c r="K3513" s="3"/>
      <c r="L3513" s="3"/>
      <c r="M3513" s="3"/>
      <c r="N3513" s="3"/>
    </row>
    <row r="3514" spans="1:14" ht="16.5" customHeight="1">
      <c r="A3514" s="3"/>
      <c r="B3514" s="3"/>
      <c r="C3514" s="3"/>
      <c r="D3514" s="3"/>
      <c r="E3514" s="3"/>
      <c r="F3514" s="3"/>
      <c r="G3514" s="3"/>
      <c r="H3514" s="3"/>
      <c r="I3514" s="3"/>
      <c r="J3514" s="3"/>
      <c r="K3514" s="3"/>
      <c r="L3514" s="3"/>
      <c r="M3514" s="3"/>
      <c r="N3514" s="3"/>
    </row>
    <row r="3515" spans="1:14" ht="16.5" customHeight="1">
      <c r="A3515" s="3"/>
      <c r="B3515" s="3"/>
      <c r="C3515" s="3"/>
      <c r="D3515" s="3"/>
      <c r="E3515" s="3"/>
      <c r="F3515" s="3"/>
      <c r="G3515" s="3"/>
      <c r="H3515" s="3"/>
      <c r="I3515" s="3"/>
      <c r="J3515" s="3"/>
      <c r="K3515" s="3"/>
      <c r="L3515" s="3"/>
      <c r="M3515" s="3"/>
      <c r="N3515" s="3"/>
    </row>
    <row r="3516" spans="1:14" ht="16.5" customHeight="1">
      <c r="A3516" s="3"/>
      <c r="B3516" s="3"/>
      <c r="C3516" s="3"/>
      <c r="D3516" s="3"/>
      <c r="E3516" s="3"/>
      <c r="F3516" s="3"/>
      <c r="G3516" s="3"/>
      <c r="H3516" s="3"/>
      <c r="I3516" s="3"/>
      <c r="J3516" s="3"/>
      <c r="K3516" s="3"/>
      <c r="L3516" s="3"/>
      <c r="M3516" s="3"/>
      <c r="N3516" s="3"/>
    </row>
    <row r="3517" spans="1:14" ht="16.5" customHeight="1">
      <c r="A3517" s="3"/>
      <c r="B3517" s="3"/>
      <c r="C3517" s="3"/>
      <c r="D3517" s="3"/>
      <c r="E3517" s="3"/>
      <c r="F3517" s="3"/>
      <c r="G3517" s="3"/>
      <c r="H3517" s="3"/>
      <c r="I3517" s="3"/>
      <c r="J3517" s="3"/>
      <c r="K3517" s="3"/>
      <c r="L3517" s="3"/>
      <c r="M3517" s="3"/>
      <c r="N3517" s="3"/>
    </row>
    <row r="3518" spans="1:14" ht="16.5" customHeight="1">
      <c r="A3518" s="3"/>
      <c r="B3518" s="3"/>
      <c r="C3518" s="3"/>
      <c r="D3518" s="3"/>
      <c r="E3518" s="3"/>
      <c r="F3518" s="3"/>
      <c r="G3518" s="3"/>
      <c r="H3518" s="3"/>
      <c r="I3518" s="3"/>
      <c r="J3518" s="3"/>
      <c r="K3518" s="3"/>
      <c r="L3518" s="3"/>
      <c r="M3518" s="3"/>
      <c r="N3518" s="3"/>
    </row>
    <row r="3519" spans="1:14" ht="16.5" customHeight="1">
      <c r="A3519" s="3"/>
      <c r="B3519" s="3"/>
      <c r="C3519" s="3"/>
      <c r="D3519" s="3"/>
      <c r="E3519" s="3"/>
      <c r="F3519" s="3"/>
      <c r="G3519" s="3"/>
      <c r="H3519" s="3"/>
      <c r="I3519" s="3"/>
      <c r="J3519" s="3"/>
      <c r="K3519" s="3"/>
      <c r="L3519" s="3"/>
      <c r="M3519" s="3"/>
      <c r="N3519" s="3"/>
    </row>
    <row r="3520" spans="1:14" ht="16.5" customHeight="1">
      <c r="A3520" s="3"/>
      <c r="B3520" s="3"/>
      <c r="C3520" s="3"/>
      <c r="D3520" s="3"/>
      <c r="E3520" s="3"/>
      <c r="F3520" s="3"/>
      <c r="G3520" s="3"/>
      <c r="H3520" s="3"/>
      <c r="I3520" s="3"/>
      <c r="J3520" s="3"/>
      <c r="K3520" s="3"/>
      <c r="L3520" s="3"/>
      <c r="M3520" s="3"/>
      <c r="N3520" s="3"/>
    </row>
    <row r="3521" spans="1:14" ht="16.5" customHeight="1">
      <c r="A3521" s="3"/>
      <c r="B3521" s="3"/>
      <c r="C3521" s="3"/>
      <c r="D3521" s="3"/>
      <c r="E3521" s="3"/>
      <c r="F3521" s="3"/>
      <c r="G3521" s="3"/>
      <c r="H3521" s="3"/>
      <c r="I3521" s="3"/>
      <c r="J3521" s="3"/>
      <c r="K3521" s="3"/>
      <c r="L3521" s="3"/>
      <c r="M3521" s="3"/>
      <c r="N3521" s="3"/>
    </row>
    <row r="3522" spans="1:14" ht="16.5" customHeight="1">
      <c r="A3522" s="3"/>
      <c r="B3522" s="3"/>
      <c r="C3522" s="3"/>
      <c r="D3522" s="3"/>
      <c r="E3522" s="3"/>
      <c r="F3522" s="3"/>
      <c r="G3522" s="3"/>
      <c r="H3522" s="3"/>
      <c r="I3522" s="3"/>
      <c r="J3522" s="3"/>
      <c r="K3522" s="3"/>
      <c r="L3522" s="3"/>
      <c r="M3522" s="3"/>
      <c r="N3522" s="3"/>
    </row>
    <row r="3523" spans="1:14" ht="16.5" customHeight="1">
      <c r="A3523" s="3"/>
      <c r="B3523" s="3"/>
      <c r="C3523" s="3"/>
      <c r="D3523" s="3"/>
      <c r="E3523" s="3"/>
      <c r="F3523" s="3"/>
      <c r="G3523" s="3"/>
      <c r="H3523" s="3"/>
      <c r="I3523" s="3"/>
      <c r="J3523" s="3"/>
      <c r="K3523" s="3"/>
      <c r="L3523" s="3"/>
      <c r="M3523" s="3"/>
      <c r="N3523" s="3"/>
    </row>
    <row r="3524" spans="1:14" ht="16.5" customHeight="1">
      <c r="A3524" s="3"/>
      <c r="B3524" s="3"/>
      <c r="C3524" s="3"/>
      <c r="D3524" s="3"/>
      <c r="E3524" s="3"/>
      <c r="F3524" s="3"/>
      <c r="G3524" s="3"/>
      <c r="H3524" s="3"/>
      <c r="I3524" s="3"/>
      <c r="J3524" s="3"/>
      <c r="K3524" s="3"/>
      <c r="L3524" s="3"/>
      <c r="M3524" s="3"/>
      <c r="N3524" s="3"/>
    </row>
    <row r="3525" spans="1:14" ht="16.5" customHeight="1">
      <c r="A3525" s="3"/>
      <c r="B3525" s="3"/>
      <c r="C3525" s="3"/>
      <c r="D3525" s="3"/>
      <c r="E3525" s="3"/>
      <c r="F3525" s="3"/>
      <c r="G3525" s="3"/>
      <c r="H3525" s="3"/>
      <c r="I3525" s="3"/>
      <c r="J3525" s="3"/>
      <c r="K3525" s="3"/>
      <c r="L3525" s="3"/>
      <c r="M3525" s="3"/>
      <c r="N3525" s="3"/>
    </row>
    <row r="3526" spans="1:14" ht="16.5" customHeight="1">
      <c r="A3526" s="3"/>
      <c r="B3526" s="3"/>
      <c r="C3526" s="3"/>
      <c r="D3526" s="3"/>
      <c r="E3526" s="3"/>
      <c r="F3526" s="3"/>
      <c r="G3526" s="3"/>
      <c r="H3526" s="3"/>
      <c r="I3526" s="3"/>
      <c r="J3526" s="3"/>
      <c r="K3526" s="3"/>
      <c r="L3526" s="3"/>
      <c r="M3526" s="3"/>
      <c r="N3526" s="3"/>
    </row>
    <row r="3527" spans="1:14" ht="16.5" customHeight="1">
      <c r="A3527" s="3"/>
      <c r="B3527" s="3"/>
      <c r="C3527" s="3"/>
      <c r="D3527" s="3"/>
      <c r="E3527" s="3"/>
      <c r="F3527" s="3"/>
      <c r="G3527" s="3"/>
      <c r="H3527" s="3"/>
      <c r="I3527" s="3"/>
      <c r="J3527" s="3"/>
      <c r="K3527" s="3"/>
      <c r="L3527" s="3"/>
      <c r="M3527" s="3"/>
      <c r="N3527" s="3"/>
    </row>
    <row r="3528" spans="1:14" ht="16.5" customHeight="1">
      <c r="A3528" s="3"/>
      <c r="B3528" s="3"/>
      <c r="C3528" s="3"/>
      <c r="D3528" s="3"/>
      <c r="E3528" s="3"/>
      <c r="F3528" s="3"/>
      <c r="G3528" s="3"/>
      <c r="H3528" s="3"/>
      <c r="I3528" s="3"/>
      <c r="J3528" s="3"/>
      <c r="K3528" s="3"/>
      <c r="L3528" s="3"/>
      <c r="M3528" s="3"/>
      <c r="N3528" s="3"/>
    </row>
    <row r="3529" spans="1:14" ht="16.5" customHeight="1">
      <c r="A3529" s="3"/>
      <c r="B3529" s="3"/>
      <c r="C3529" s="3"/>
      <c r="D3529" s="3"/>
      <c r="E3529" s="3"/>
      <c r="F3529" s="3"/>
      <c r="G3529" s="3"/>
      <c r="H3529" s="3"/>
      <c r="I3529" s="3"/>
      <c r="J3529" s="3"/>
      <c r="K3529" s="3"/>
      <c r="L3529" s="3"/>
      <c r="M3529" s="3"/>
      <c r="N3529" s="3"/>
    </row>
    <row r="3530" spans="1:14" ht="16.5" customHeight="1">
      <c r="A3530" s="3"/>
      <c r="B3530" s="3"/>
      <c r="C3530" s="3"/>
      <c r="D3530" s="3"/>
      <c r="E3530" s="3"/>
      <c r="F3530" s="3"/>
      <c r="G3530" s="3"/>
      <c r="H3530" s="3"/>
      <c r="I3530" s="3"/>
      <c r="J3530" s="3"/>
      <c r="K3530" s="3"/>
      <c r="L3530" s="3"/>
      <c r="M3530" s="3"/>
      <c r="N3530" s="3"/>
    </row>
    <row r="3531" spans="1:14" ht="16.5" customHeight="1">
      <c r="A3531" s="3"/>
      <c r="B3531" s="3"/>
      <c r="C3531" s="3"/>
      <c r="D3531" s="3"/>
      <c r="E3531" s="3"/>
      <c r="F3531" s="3"/>
      <c r="G3531" s="3"/>
      <c r="H3531" s="3"/>
      <c r="I3531" s="3"/>
      <c r="J3531" s="3"/>
      <c r="K3531" s="3"/>
      <c r="L3531" s="3"/>
      <c r="M3531" s="3"/>
      <c r="N3531" s="3"/>
    </row>
    <row r="3532" spans="1:14" ht="16.5" customHeight="1">
      <c r="A3532" s="3"/>
      <c r="B3532" s="3"/>
      <c r="C3532" s="3"/>
      <c r="D3532" s="3"/>
      <c r="E3532" s="3"/>
      <c r="F3532" s="3"/>
      <c r="G3532" s="3"/>
      <c r="H3532" s="3"/>
      <c r="I3532" s="3"/>
      <c r="J3532" s="3"/>
      <c r="K3532" s="3"/>
      <c r="L3532" s="3"/>
      <c r="M3532" s="3"/>
      <c r="N3532" s="3"/>
    </row>
    <row r="3533" spans="1:14" ht="16.5" customHeight="1">
      <c r="A3533" s="3"/>
      <c r="B3533" s="3"/>
      <c r="C3533" s="3"/>
      <c r="D3533" s="3"/>
      <c r="E3533" s="3"/>
      <c r="F3533" s="3"/>
      <c r="G3533" s="3"/>
      <c r="H3533" s="3"/>
      <c r="I3533" s="3"/>
      <c r="J3533" s="3"/>
      <c r="K3533" s="3"/>
      <c r="L3533" s="3"/>
      <c r="M3533" s="3"/>
      <c r="N3533" s="3"/>
    </row>
    <row r="3534" spans="1:14" ht="16.5" customHeight="1">
      <c r="A3534" s="3"/>
      <c r="B3534" s="3"/>
      <c r="C3534" s="3"/>
      <c r="D3534" s="3"/>
      <c r="E3534" s="3"/>
      <c r="F3534" s="3"/>
      <c r="G3534" s="3"/>
      <c r="H3534" s="3"/>
      <c r="I3534" s="3"/>
      <c r="J3534" s="3"/>
      <c r="K3534" s="3"/>
      <c r="L3534" s="3"/>
      <c r="M3534" s="3"/>
      <c r="N3534" s="3"/>
    </row>
    <row r="3535" spans="1:14" ht="16.5" customHeight="1">
      <c r="A3535" s="3"/>
      <c r="B3535" s="3"/>
      <c r="C3535" s="3"/>
      <c r="D3535" s="3"/>
      <c r="E3535" s="3"/>
      <c r="F3535" s="3"/>
      <c r="G3535" s="3"/>
      <c r="H3535" s="3"/>
      <c r="I3535" s="3"/>
      <c r="J3535" s="3"/>
      <c r="K3535" s="3"/>
      <c r="L3535" s="3"/>
      <c r="M3535" s="3"/>
      <c r="N3535" s="3"/>
    </row>
    <row r="3536" spans="1:14" ht="16.5" customHeight="1">
      <c r="A3536" s="3"/>
      <c r="B3536" s="3"/>
      <c r="C3536" s="3"/>
      <c r="D3536" s="3"/>
      <c r="E3536" s="3"/>
      <c r="F3536" s="3"/>
      <c r="G3536" s="3"/>
      <c r="H3536" s="3"/>
      <c r="I3536" s="3"/>
      <c r="J3536" s="3"/>
      <c r="K3536" s="3"/>
      <c r="L3536" s="3"/>
      <c r="M3536" s="3"/>
      <c r="N3536" s="3"/>
    </row>
    <row r="3537" spans="1:14" ht="16.5" customHeight="1">
      <c r="A3537" s="3"/>
      <c r="B3537" s="3"/>
      <c r="C3537" s="3"/>
      <c r="D3537" s="3"/>
      <c r="E3537" s="3"/>
      <c r="F3537" s="3"/>
      <c r="G3537" s="3"/>
      <c r="H3537" s="3"/>
      <c r="I3537" s="3"/>
      <c r="J3537" s="3"/>
      <c r="K3537" s="3"/>
      <c r="L3537" s="3"/>
      <c r="M3537" s="3"/>
      <c r="N3537" s="3"/>
    </row>
    <row r="3538" spans="1:14" ht="16.5" customHeight="1">
      <c r="A3538" s="3"/>
      <c r="B3538" s="3"/>
      <c r="C3538" s="3"/>
      <c r="D3538" s="3"/>
      <c r="E3538" s="3"/>
      <c r="F3538" s="3"/>
      <c r="G3538" s="3"/>
      <c r="H3538" s="3"/>
      <c r="I3538" s="3"/>
      <c r="J3538" s="3"/>
      <c r="K3538" s="3"/>
      <c r="L3538" s="3"/>
      <c r="M3538" s="3"/>
      <c r="N3538" s="3"/>
    </row>
    <row r="3539" spans="1:14" ht="16.5" customHeight="1">
      <c r="A3539" s="3"/>
      <c r="B3539" s="3"/>
      <c r="C3539" s="3"/>
      <c r="D3539" s="3"/>
      <c r="E3539" s="3"/>
      <c r="F3539" s="3"/>
      <c r="G3539" s="3"/>
      <c r="H3539" s="3"/>
      <c r="I3539" s="3"/>
      <c r="J3539" s="3"/>
      <c r="K3539" s="3"/>
      <c r="L3539" s="3"/>
      <c r="M3539" s="3"/>
      <c r="N3539" s="3"/>
    </row>
    <row r="3540" spans="1:14" ht="16.5" customHeight="1">
      <c r="A3540" s="3"/>
      <c r="B3540" s="3"/>
      <c r="C3540" s="3"/>
      <c r="D3540" s="3"/>
      <c r="E3540" s="3"/>
      <c r="F3540" s="3"/>
      <c r="G3540" s="3"/>
      <c r="H3540" s="3"/>
      <c r="I3540" s="3"/>
      <c r="J3540" s="3"/>
      <c r="K3540" s="3"/>
      <c r="L3540" s="3"/>
      <c r="M3540" s="3"/>
      <c r="N3540" s="3"/>
    </row>
    <row r="3541" spans="1:14" ht="16.5" customHeight="1">
      <c r="A3541" s="3"/>
      <c r="B3541" s="3"/>
      <c r="C3541" s="3"/>
      <c r="D3541" s="3"/>
      <c r="E3541" s="3"/>
      <c r="F3541" s="3"/>
      <c r="G3541" s="3"/>
      <c r="H3541" s="3"/>
      <c r="I3541" s="3"/>
      <c r="J3541" s="3"/>
      <c r="K3541" s="3"/>
      <c r="L3541" s="3"/>
      <c r="M3541" s="3"/>
      <c r="N3541" s="3"/>
    </row>
    <row r="3542" spans="1:14" ht="16.5" customHeight="1">
      <c r="A3542" s="3"/>
      <c r="B3542" s="3"/>
      <c r="C3542" s="3"/>
      <c r="D3542" s="3"/>
      <c r="E3542" s="3"/>
      <c r="F3542" s="3"/>
      <c r="G3542" s="3"/>
      <c r="H3542" s="3"/>
      <c r="I3542" s="3"/>
      <c r="J3542" s="3"/>
      <c r="K3542" s="3"/>
      <c r="L3542" s="3"/>
      <c r="M3542" s="3"/>
      <c r="N3542" s="3"/>
    </row>
    <row r="3543" spans="1:14" ht="16.5" customHeight="1">
      <c r="A3543" s="3"/>
      <c r="B3543" s="3"/>
      <c r="C3543" s="3"/>
      <c r="D3543" s="3"/>
      <c r="E3543" s="3"/>
      <c r="F3543" s="3"/>
      <c r="G3543" s="3"/>
      <c r="H3543" s="3"/>
      <c r="I3543" s="3"/>
      <c r="J3543" s="3"/>
      <c r="K3543" s="3"/>
      <c r="L3543" s="3"/>
      <c r="M3543" s="3"/>
      <c r="N3543" s="3"/>
    </row>
    <row r="3544" spans="1:14" ht="16.5" customHeight="1">
      <c r="A3544" s="3"/>
      <c r="B3544" s="3"/>
      <c r="C3544" s="3"/>
      <c r="D3544" s="3"/>
      <c r="E3544" s="3"/>
      <c r="F3544" s="3"/>
      <c r="G3544" s="3"/>
      <c r="H3544" s="3"/>
      <c r="I3544" s="3"/>
      <c r="J3544" s="3"/>
      <c r="K3544" s="3"/>
      <c r="L3544" s="3"/>
      <c r="M3544" s="3"/>
      <c r="N3544" s="3"/>
    </row>
    <row r="3545" spans="1:14" ht="16.5" customHeight="1">
      <c r="A3545" s="3"/>
      <c r="B3545" s="3"/>
      <c r="C3545" s="3"/>
      <c r="D3545" s="3"/>
      <c r="E3545" s="3"/>
      <c r="F3545" s="3"/>
      <c r="G3545" s="3"/>
      <c r="H3545" s="3"/>
      <c r="I3545" s="3"/>
      <c r="J3545" s="3"/>
      <c r="K3545" s="3"/>
      <c r="L3545" s="3"/>
      <c r="M3545" s="3"/>
      <c r="N3545" s="3"/>
    </row>
    <row r="3546" spans="1:14" ht="16.5" customHeight="1">
      <c r="A3546" s="3"/>
      <c r="B3546" s="3"/>
      <c r="C3546" s="3"/>
      <c r="D3546" s="3"/>
      <c r="E3546" s="3"/>
      <c r="F3546" s="3"/>
      <c r="G3546" s="3"/>
      <c r="H3546" s="3"/>
      <c r="I3546" s="3"/>
      <c r="J3546" s="3"/>
      <c r="K3546" s="3"/>
      <c r="L3546" s="3"/>
      <c r="M3546" s="3"/>
      <c r="N3546" s="3"/>
    </row>
    <row r="3547" spans="1:14" ht="16.5" customHeight="1">
      <c r="A3547" s="3"/>
      <c r="B3547" s="3"/>
      <c r="C3547" s="3"/>
      <c r="D3547" s="3"/>
      <c r="E3547" s="3"/>
      <c r="F3547" s="3"/>
      <c r="G3547" s="3"/>
      <c r="H3547" s="3"/>
      <c r="I3547" s="3"/>
      <c r="J3547" s="3"/>
      <c r="K3547" s="3"/>
      <c r="L3547" s="3"/>
      <c r="M3547" s="3"/>
      <c r="N3547" s="3"/>
    </row>
    <row r="3548" spans="1:14" ht="16.5" customHeight="1">
      <c r="A3548" s="3"/>
      <c r="B3548" s="3"/>
      <c r="C3548" s="3"/>
      <c r="D3548" s="3"/>
      <c r="E3548" s="3"/>
      <c r="F3548" s="3"/>
      <c r="G3548" s="3"/>
      <c r="H3548" s="3"/>
      <c r="I3548" s="3"/>
      <c r="J3548" s="3"/>
      <c r="K3548" s="3"/>
      <c r="L3548" s="3"/>
      <c r="M3548" s="3"/>
      <c r="N3548" s="3"/>
    </row>
    <row r="3549" spans="1:14" ht="16.5" customHeight="1">
      <c r="A3549" s="3"/>
      <c r="B3549" s="3"/>
      <c r="C3549" s="3"/>
      <c r="D3549" s="3"/>
      <c r="E3549" s="3"/>
      <c r="F3549" s="3"/>
      <c r="G3549" s="3"/>
      <c r="H3549" s="3"/>
      <c r="I3549" s="3"/>
      <c r="J3549" s="3"/>
      <c r="K3549" s="3"/>
      <c r="L3549" s="3"/>
      <c r="M3549" s="3"/>
      <c r="N3549" s="3"/>
    </row>
    <row r="3550" spans="1:14" ht="16.5" customHeight="1">
      <c r="A3550" s="3"/>
      <c r="B3550" s="3"/>
      <c r="C3550" s="3"/>
      <c r="D3550" s="3"/>
      <c r="E3550" s="3"/>
      <c r="F3550" s="3"/>
      <c r="G3550" s="3"/>
      <c r="H3550" s="3"/>
      <c r="I3550" s="3"/>
      <c r="J3550" s="3"/>
      <c r="K3550" s="3"/>
      <c r="L3550" s="3"/>
      <c r="M3550" s="3"/>
      <c r="N3550" s="3"/>
    </row>
    <row r="3551" spans="1:14" ht="16.5" customHeight="1">
      <c r="A3551" s="3"/>
      <c r="B3551" s="3"/>
      <c r="C3551" s="3"/>
      <c r="D3551" s="3"/>
      <c r="E3551" s="3"/>
      <c r="F3551" s="3"/>
      <c r="G3551" s="3"/>
      <c r="H3551" s="3"/>
      <c r="I3551" s="3"/>
      <c r="J3551" s="3"/>
      <c r="K3551" s="3"/>
      <c r="L3551" s="3"/>
      <c r="M3551" s="3"/>
      <c r="N3551" s="3"/>
    </row>
    <row r="3552" spans="1:14" ht="16.5" customHeight="1">
      <c r="A3552" s="3"/>
      <c r="B3552" s="3"/>
      <c r="C3552" s="3"/>
      <c r="D3552" s="3"/>
      <c r="E3552" s="3"/>
      <c r="F3552" s="3"/>
      <c r="G3552" s="3"/>
      <c r="H3552" s="3"/>
      <c r="I3552" s="3"/>
      <c r="J3552" s="3"/>
      <c r="K3552" s="3"/>
      <c r="L3552" s="3"/>
      <c r="M3552" s="3"/>
      <c r="N3552" s="3"/>
    </row>
    <row r="3553" spans="1:14" ht="16.5" customHeight="1">
      <c r="A3553" s="3"/>
      <c r="B3553" s="3"/>
      <c r="C3553" s="3"/>
      <c r="D3553" s="3"/>
      <c r="E3553" s="3"/>
      <c r="F3553" s="3"/>
      <c r="G3553" s="3"/>
      <c r="H3553" s="3"/>
      <c r="I3553" s="3"/>
      <c r="J3553" s="3"/>
      <c r="K3553" s="3"/>
      <c r="L3553" s="3"/>
      <c r="M3553" s="3"/>
      <c r="N3553" s="3"/>
    </row>
    <row r="3554" spans="1:14" ht="16.5" customHeight="1">
      <c r="A3554" s="3"/>
      <c r="B3554" s="3"/>
      <c r="C3554" s="3"/>
      <c r="D3554" s="3"/>
      <c r="E3554" s="3"/>
      <c r="F3554" s="3"/>
      <c r="G3554" s="3"/>
      <c r="H3554" s="3"/>
      <c r="I3554" s="3"/>
      <c r="J3554" s="3"/>
      <c r="K3554" s="3"/>
      <c r="L3554" s="3"/>
      <c r="M3554" s="3"/>
      <c r="N3554" s="3"/>
    </row>
    <row r="3555" spans="1:14" ht="16.5" customHeight="1">
      <c r="A3555" s="3"/>
      <c r="B3555" s="3"/>
      <c r="C3555" s="3"/>
      <c r="D3555" s="3"/>
      <c r="E3555" s="3"/>
      <c r="F3555" s="3"/>
      <c r="G3555" s="3"/>
      <c r="H3555" s="3"/>
      <c r="I3555" s="3"/>
      <c r="J3555" s="3"/>
      <c r="K3555" s="3"/>
      <c r="L3555" s="3"/>
      <c r="M3555" s="3"/>
      <c r="N3555" s="3"/>
    </row>
    <row r="3556" spans="1:14" ht="16.5" customHeight="1">
      <c r="A3556" s="3"/>
      <c r="B3556" s="3"/>
      <c r="C3556" s="3"/>
      <c r="D3556" s="3"/>
      <c r="E3556" s="3"/>
      <c r="F3556" s="3"/>
      <c r="G3556" s="3"/>
      <c r="H3556" s="3"/>
      <c r="I3556" s="3"/>
      <c r="J3556" s="3"/>
      <c r="K3556" s="3"/>
      <c r="L3556" s="3"/>
      <c r="M3556" s="3"/>
      <c r="N3556" s="3"/>
    </row>
    <row r="3557" spans="1:14" ht="16.5" customHeight="1">
      <c r="A3557" s="3"/>
      <c r="B3557" s="3"/>
      <c r="C3557" s="3"/>
      <c r="D3557" s="3"/>
      <c r="E3557" s="3"/>
      <c r="F3557" s="3"/>
      <c r="G3557" s="3"/>
      <c r="H3557" s="3"/>
      <c r="I3557" s="3"/>
      <c r="J3557" s="3"/>
      <c r="K3557" s="3"/>
      <c r="L3557" s="3"/>
      <c r="M3557" s="3"/>
      <c r="N3557" s="3"/>
    </row>
    <row r="3558" spans="1:14" ht="16.5" customHeight="1">
      <c r="A3558" s="3"/>
      <c r="B3558" s="3"/>
      <c r="C3558" s="3"/>
      <c r="D3558" s="3"/>
      <c r="E3558" s="3"/>
      <c r="F3558" s="3"/>
      <c r="G3558" s="3"/>
      <c r="H3558" s="3"/>
      <c r="I3558" s="3"/>
      <c r="J3558" s="3"/>
      <c r="K3558" s="3"/>
      <c r="L3558" s="3"/>
      <c r="M3558" s="3"/>
      <c r="N3558" s="3"/>
    </row>
    <row r="3559" spans="1:14" ht="16.5" customHeight="1">
      <c r="A3559" s="3"/>
      <c r="B3559" s="3"/>
      <c r="C3559" s="3"/>
      <c r="D3559" s="3"/>
      <c r="E3559" s="3"/>
      <c r="F3559" s="3"/>
      <c r="G3559" s="3"/>
      <c r="H3559" s="3"/>
      <c r="I3559" s="3"/>
      <c r="J3559" s="3"/>
      <c r="K3559" s="3"/>
      <c r="L3559" s="3"/>
      <c r="M3559" s="3"/>
      <c r="N3559" s="3"/>
    </row>
    <row r="3560" spans="1:14" ht="16.5" customHeight="1">
      <c r="A3560" s="3"/>
      <c r="B3560" s="3"/>
      <c r="C3560" s="3"/>
      <c r="D3560" s="3"/>
      <c r="E3560" s="3"/>
      <c r="F3560" s="3"/>
      <c r="G3560" s="3"/>
      <c r="H3560" s="3"/>
      <c r="I3560" s="3"/>
      <c r="J3560" s="3"/>
      <c r="K3560" s="3"/>
      <c r="L3560" s="3"/>
      <c r="M3560" s="3"/>
      <c r="N3560" s="3"/>
    </row>
    <row r="3561" spans="1:14" ht="16.5" customHeight="1">
      <c r="A3561" s="3"/>
      <c r="B3561" s="3"/>
      <c r="C3561" s="3"/>
      <c r="D3561" s="3"/>
      <c r="E3561" s="3"/>
      <c r="F3561" s="3"/>
      <c r="G3561" s="3"/>
      <c r="H3561" s="3"/>
      <c r="I3561" s="3"/>
      <c r="J3561" s="3"/>
      <c r="K3561" s="3"/>
      <c r="L3561" s="3"/>
      <c r="M3561" s="3"/>
      <c r="N3561" s="3"/>
    </row>
    <row r="3562" spans="1:14" ht="16.5" customHeight="1">
      <c r="A3562" s="3"/>
      <c r="B3562" s="3"/>
      <c r="C3562" s="3"/>
      <c r="D3562" s="3"/>
      <c r="E3562" s="3"/>
      <c r="F3562" s="3"/>
      <c r="G3562" s="3"/>
      <c r="H3562" s="3"/>
      <c r="I3562" s="3"/>
      <c r="J3562" s="3"/>
      <c r="K3562" s="3"/>
      <c r="L3562" s="3"/>
      <c r="M3562" s="3"/>
      <c r="N3562" s="3"/>
    </row>
    <row r="3563" spans="1:14" ht="16.5" customHeight="1">
      <c r="A3563" s="3"/>
      <c r="B3563" s="3"/>
      <c r="C3563" s="3"/>
      <c r="D3563" s="3"/>
      <c r="E3563" s="3"/>
      <c r="F3563" s="3"/>
      <c r="G3563" s="3"/>
      <c r="H3563" s="3"/>
      <c r="I3563" s="3"/>
      <c r="J3563" s="3"/>
      <c r="K3563" s="3"/>
      <c r="L3563" s="3"/>
      <c r="M3563" s="3"/>
      <c r="N3563" s="3"/>
    </row>
    <row r="3564" spans="1:14" ht="16.5" customHeight="1">
      <c r="A3564" s="3"/>
      <c r="B3564" s="3"/>
      <c r="C3564" s="3"/>
      <c r="D3564" s="3"/>
      <c r="E3564" s="3"/>
      <c r="F3564" s="3"/>
      <c r="G3564" s="3"/>
      <c r="H3564" s="3"/>
      <c r="I3564" s="3"/>
      <c r="J3564" s="3"/>
      <c r="K3564" s="3"/>
      <c r="L3564" s="3"/>
      <c r="M3564" s="3"/>
      <c r="N3564" s="3"/>
    </row>
    <row r="3565" spans="1:14" ht="16.5" customHeight="1">
      <c r="A3565" s="3"/>
      <c r="B3565" s="3"/>
      <c r="C3565" s="3"/>
      <c r="D3565" s="3"/>
      <c r="E3565" s="3"/>
      <c r="F3565" s="3"/>
      <c r="G3565" s="3"/>
      <c r="H3565" s="3"/>
      <c r="I3565" s="3"/>
      <c r="J3565" s="3"/>
      <c r="K3565" s="3"/>
      <c r="L3565" s="3"/>
      <c r="M3565" s="3"/>
      <c r="N3565" s="3"/>
    </row>
    <row r="3566" spans="1:14" ht="16.5" customHeight="1">
      <c r="A3566" s="3"/>
      <c r="B3566" s="3"/>
      <c r="C3566" s="3"/>
      <c r="D3566" s="3"/>
      <c r="E3566" s="3"/>
      <c r="F3566" s="3"/>
      <c r="G3566" s="3"/>
      <c r="H3566" s="3"/>
      <c r="I3566" s="3"/>
      <c r="J3566" s="3"/>
      <c r="K3566" s="3"/>
      <c r="L3566" s="3"/>
      <c r="M3566" s="3"/>
      <c r="N3566" s="3"/>
    </row>
    <row r="3567" spans="1:14" ht="16.5" customHeight="1">
      <c r="A3567" s="3"/>
      <c r="B3567" s="3"/>
      <c r="C3567" s="3"/>
      <c r="D3567" s="3"/>
      <c r="E3567" s="3"/>
      <c r="F3567" s="3"/>
      <c r="G3567" s="3"/>
      <c r="H3567" s="3"/>
      <c r="I3567" s="3"/>
      <c r="J3567" s="3"/>
      <c r="K3567" s="3"/>
      <c r="L3567" s="3"/>
      <c r="M3567" s="3"/>
      <c r="N3567" s="3"/>
    </row>
    <row r="3568" spans="1:14" ht="16.5" customHeight="1">
      <c r="A3568" s="3"/>
      <c r="B3568" s="3"/>
      <c r="C3568" s="3"/>
      <c r="D3568" s="3"/>
      <c r="E3568" s="3"/>
      <c r="F3568" s="3"/>
      <c r="G3568" s="3"/>
      <c r="H3568" s="3"/>
      <c r="I3568" s="3"/>
      <c r="J3568" s="3"/>
      <c r="K3568" s="3"/>
      <c r="L3568" s="3"/>
      <c r="M3568" s="3"/>
      <c r="N3568" s="3"/>
    </row>
    <row r="3569" spans="1:14" ht="16.5" customHeight="1">
      <c r="A3569" s="3"/>
      <c r="B3569" s="3"/>
      <c r="C3569" s="3"/>
      <c r="D3569" s="3"/>
      <c r="E3569" s="3"/>
      <c r="F3569" s="3"/>
      <c r="G3569" s="3"/>
      <c r="H3569" s="3"/>
      <c r="I3569" s="3"/>
      <c r="J3569" s="3"/>
      <c r="K3569" s="3"/>
      <c r="L3569" s="3"/>
      <c r="M3569" s="3"/>
      <c r="N3569" s="3"/>
    </row>
    <row r="3570" spans="1:14" ht="16.5" customHeight="1">
      <c r="A3570" s="3"/>
      <c r="B3570" s="3"/>
      <c r="C3570" s="3"/>
      <c r="D3570" s="3"/>
      <c r="E3570" s="3"/>
      <c r="F3570" s="3"/>
      <c r="G3570" s="3"/>
      <c r="H3570" s="3"/>
      <c r="I3570" s="3"/>
      <c r="J3570" s="3"/>
      <c r="K3570" s="3"/>
      <c r="L3570" s="3"/>
      <c r="M3570" s="3"/>
      <c r="N3570" s="3"/>
    </row>
    <row r="3571" spans="1:14" ht="16.5" customHeight="1">
      <c r="A3571" s="3"/>
      <c r="B3571" s="3"/>
      <c r="C3571" s="3"/>
      <c r="D3571" s="3"/>
      <c r="E3571" s="3"/>
      <c r="F3571" s="3"/>
      <c r="G3571" s="3"/>
      <c r="H3571" s="3"/>
      <c r="I3571" s="3"/>
      <c r="J3571" s="3"/>
      <c r="K3571" s="3"/>
      <c r="L3571" s="3"/>
      <c r="M3571" s="3"/>
      <c r="N3571" s="3"/>
    </row>
    <row r="3572" spans="1:14" ht="16.5" customHeight="1">
      <c r="A3572" s="3"/>
      <c r="B3572" s="3"/>
      <c r="C3572" s="3"/>
      <c r="D3572" s="3"/>
      <c r="E3572" s="3"/>
      <c r="F3572" s="3"/>
      <c r="G3572" s="3"/>
      <c r="H3572" s="3"/>
      <c r="I3572" s="3"/>
      <c r="J3572" s="3"/>
      <c r="K3572" s="3"/>
      <c r="L3572" s="3"/>
      <c r="M3572" s="3"/>
      <c r="N3572" s="3"/>
    </row>
    <row r="3573" spans="1:14" ht="16.5" customHeight="1">
      <c r="A3573" s="3"/>
      <c r="B3573" s="3"/>
      <c r="C3573" s="3"/>
      <c r="D3573" s="3"/>
      <c r="E3573" s="3"/>
      <c r="F3573" s="3"/>
      <c r="G3573" s="3"/>
      <c r="H3573" s="3"/>
      <c r="I3573" s="3"/>
      <c r="J3573" s="3"/>
      <c r="K3573" s="3"/>
      <c r="L3573" s="3"/>
      <c r="M3573" s="3"/>
      <c r="N3573" s="3"/>
    </row>
    <row r="3574" spans="1:14" ht="16.5" customHeight="1">
      <c r="A3574" s="3"/>
      <c r="B3574" s="3"/>
      <c r="C3574" s="3"/>
      <c r="D3574" s="3"/>
      <c r="E3574" s="3"/>
      <c r="F3574" s="3"/>
      <c r="G3574" s="3"/>
      <c r="H3574" s="3"/>
      <c r="I3574" s="3"/>
      <c r="J3574" s="3"/>
      <c r="K3574" s="3"/>
      <c r="L3574" s="3"/>
      <c r="M3574" s="3"/>
      <c r="N3574" s="3"/>
    </row>
    <row r="3575" spans="1:14" ht="16.5" customHeight="1">
      <c r="A3575" s="3"/>
      <c r="B3575" s="3"/>
      <c r="C3575" s="3"/>
      <c r="D3575" s="3"/>
      <c r="E3575" s="3"/>
      <c r="F3575" s="3"/>
      <c r="G3575" s="3"/>
      <c r="H3575" s="3"/>
      <c r="I3575" s="3"/>
      <c r="J3575" s="3"/>
      <c r="K3575" s="3"/>
      <c r="L3575" s="3"/>
      <c r="M3575" s="3"/>
      <c r="N3575" s="3"/>
    </row>
    <row r="3576" spans="1:14" ht="16.5" customHeight="1">
      <c r="A3576" s="3"/>
      <c r="B3576" s="3"/>
      <c r="C3576" s="3"/>
      <c r="D3576" s="3"/>
      <c r="E3576" s="3"/>
      <c r="F3576" s="3"/>
      <c r="G3576" s="3"/>
      <c r="H3576" s="3"/>
      <c r="I3576" s="3"/>
      <c r="J3576" s="3"/>
      <c r="K3576" s="3"/>
      <c r="L3576" s="3"/>
      <c r="M3576" s="3"/>
      <c r="N3576" s="3"/>
    </row>
    <row r="3577" spans="1:14" ht="16.5" customHeight="1">
      <c r="A3577" s="3"/>
      <c r="B3577" s="3"/>
      <c r="C3577" s="3"/>
      <c r="D3577" s="3"/>
      <c r="E3577" s="3"/>
      <c r="F3577" s="3"/>
      <c r="G3577" s="3"/>
      <c r="H3577" s="3"/>
      <c r="I3577" s="3"/>
      <c r="J3577" s="3"/>
      <c r="K3577" s="3"/>
      <c r="L3577" s="3"/>
      <c r="M3577" s="3"/>
      <c r="N3577" s="3"/>
    </row>
    <row r="3578" spans="1:14" ht="16.5" customHeight="1">
      <c r="A3578" s="3"/>
      <c r="B3578" s="3"/>
      <c r="C3578" s="3"/>
      <c r="D3578" s="3"/>
      <c r="E3578" s="3"/>
      <c r="F3578" s="3"/>
      <c r="G3578" s="3"/>
      <c r="H3578" s="3"/>
      <c r="I3578" s="3"/>
      <c r="J3578" s="3"/>
      <c r="K3578" s="3"/>
      <c r="L3578" s="3"/>
      <c r="M3578" s="3"/>
      <c r="N3578" s="3"/>
    </row>
    <row r="3579" spans="1:14" ht="16.5" customHeight="1">
      <c r="A3579" s="3"/>
      <c r="B3579" s="3"/>
      <c r="C3579" s="3"/>
      <c r="D3579" s="3"/>
      <c r="E3579" s="3"/>
      <c r="F3579" s="3"/>
      <c r="G3579" s="3"/>
      <c r="H3579" s="3"/>
      <c r="I3579" s="3"/>
      <c r="J3579" s="3"/>
      <c r="K3579" s="3"/>
      <c r="L3579" s="3"/>
      <c r="M3579" s="3"/>
      <c r="N3579" s="3"/>
    </row>
    <row r="3580" spans="1:14" ht="16.5" customHeight="1">
      <c r="A3580" s="3"/>
      <c r="B3580" s="3"/>
      <c r="C3580" s="3"/>
      <c r="D3580" s="3"/>
      <c r="E3580" s="3"/>
      <c r="F3580" s="3"/>
      <c r="G3580" s="3"/>
      <c r="H3580" s="3"/>
      <c r="I3580" s="3"/>
      <c r="J3580" s="3"/>
      <c r="K3580" s="3"/>
      <c r="L3580" s="3"/>
      <c r="M3580" s="3"/>
      <c r="N3580" s="3"/>
    </row>
    <row r="3581" spans="1:14" ht="16.5" customHeight="1">
      <c r="A3581" s="3"/>
      <c r="B3581" s="3"/>
      <c r="C3581" s="3"/>
      <c r="D3581" s="3"/>
      <c r="E3581" s="3"/>
      <c r="F3581" s="3"/>
      <c r="G3581" s="3"/>
      <c r="H3581" s="3"/>
      <c r="I3581" s="3"/>
      <c r="J3581" s="3"/>
      <c r="K3581" s="3"/>
      <c r="L3581" s="3"/>
      <c r="M3581" s="3"/>
      <c r="N3581" s="3"/>
    </row>
    <row r="3582" spans="1:14" ht="16.5" customHeight="1">
      <c r="A3582" s="3"/>
      <c r="B3582" s="3"/>
      <c r="C3582" s="3"/>
      <c r="D3582" s="3"/>
      <c r="E3582" s="3"/>
      <c r="F3582" s="3"/>
      <c r="G3582" s="3"/>
      <c r="H3582" s="3"/>
      <c r="I3582" s="3"/>
      <c r="J3582" s="3"/>
      <c r="K3582" s="3"/>
      <c r="L3582" s="3"/>
      <c r="M3582" s="3"/>
      <c r="N3582" s="3"/>
    </row>
    <row r="3583" spans="1:14" ht="16.5" customHeight="1">
      <c r="A3583" s="3"/>
      <c r="B3583" s="3"/>
      <c r="C3583" s="3"/>
      <c r="D3583" s="3"/>
      <c r="E3583" s="3"/>
      <c r="F3583" s="3"/>
      <c r="G3583" s="3"/>
      <c r="H3583" s="3"/>
      <c r="I3583" s="3"/>
      <c r="J3583" s="3"/>
      <c r="K3583" s="3"/>
      <c r="L3583" s="3"/>
      <c r="M3583" s="3"/>
      <c r="N3583" s="3"/>
    </row>
    <row r="3584" spans="1:14" ht="16.5" customHeight="1">
      <c r="A3584" s="3"/>
      <c r="B3584" s="3"/>
      <c r="C3584" s="3"/>
      <c r="D3584" s="3"/>
      <c r="E3584" s="3"/>
      <c r="F3584" s="3"/>
      <c r="G3584" s="3"/>
      <c r="H3584" s="3"/>
      <c r="I3584" s="3"/>
      <c r="J3584" s="3"/>
      <c r="K3584" s="3"/>
      <c r="L3584" s="3"/>
      <c r="M3584" s="3"/>
      <c r="N3584" s="3"/>
    </row>
    <row r="3585" spans="1:14" ht="16.5" customHeight="1">
      <c r="A3585" s="3"/>
      <c r="B3585" s="3"/>
      <c r="C3585" s="3"/>
      <c r="D3585" s="3"/>
      <c r="E3585" s="3"/>
      <c r="F3585" s="3"/>
      <c r="G3585" s="3"/>
      <c r="H3585" s="3"/>
      <c r="I3585" s="3"/>
      <c r="J3585" s="3"/>
      <c r="K3585" s="3"/>
      <c r="L3585" s="3"/>
      <c r="M3585" s="3"/>
      <c r="N3585" s="3"/>
    </row>
    <row r="3586" spans="1:14" ht="16.5" customHeight="1">
      <c r="A3586" s="3"/>
      <c r="B3586" s="3"/>
      <c r="C3586" s="3"/>
      <c r="D3586" s="3"/>
      <c r="E3586" s="3"/>
      <c r="F3586" s="3"/>
      <c r="G3586" s="3"/>
      <c r="H3586" s="3"/>
      <c r="I3586" s="3"/>
      <c r="J3586" s="3"/>
      <c r="K3586" s="3"/>
      <c r="L3586" s="3"/>
      <c r="M3586" s="3"/>
      <c r="N3586" s="3"/>
    </row>
    <row r="3587" spans="1:14" ht="16.5" customHeight="1">
      <c r="A3587" s="3"/>
      <c r="B3587" s="3"/>
      <c r="C3587" s="3"/>
      <c r="D3587" s="3"/>
      <c r="E3587" s="3"/>
      <c r="F3587" s="3"/>
      <c r="G3587" s="3"/>
      <c r="H3587" s="3"/>
      <c r="I3587" s="3"/>
      <c r="J3587" s="3"/>
      <c r="K3587" s="3"/>
      <c r="L3587" s="3"/>
      <c r="M3587" s="3"/>
      <c r="N3587" s="3"/>
    </row>
    <row r="3588" spans="1:14" ht="16.5" customHeight="1">
      <c r="A3588" s="3"/>
      <c r="B3588" s="3"/>
      <c r="C3588" s="3"/>
      <c r="D3588" s="3"/>
      <c r="E3588" s="3"/>
      <c r="F3588" s="3"/>
      <c r="G3588" s="3"/>
      <c r="H3588" s="3"/>
      <c r="I3588" s="3"/>
      <c r="J3588" s="3"/>
      <c r="K3588" s="3"/>
      <c r="L3588" s="3"/>
      <c r="M3588" s="3"/>
      <c r="N3588" s="3"/>
    </row>
    <row r="3589" spans="1:14" ht="16.5" customHeight="1">
      <c r="A3589" s="3"/>
      <c r="B3589" s="3"/>
      <c r="C3589" s="3"/>
      <c r="D3589" s="3"/>
      <c r="E3589" s="3"/>
      <c r="F3589" s="3"/>
      <c r="G3589" s="3"/>
      <c r="H3589" s="3"/>
      <c r="I3589" s="3"/>
      <c r="J3589" s="3"/>
      <c r="K3589" s="3"/>
      <c r="L3589" s="3"/>
      <c r="M3589" s="3"/>
      <c r="N3589" s="3"/>
    </row>
    <row r="3590" spans="1:14" ht="16.5" customHeight="1">
      <c r="A3590" s="3"/>
      <c r="B3590" s="3"/>
      <c r="C3590" s="3"/>
      <c r="D3590" s="3"/>
      <c r="E3590" s="3"/>
      <c r="F3590" s="3"/>
      <c r="G3590" s="3"/>
      <c r="H3590" s="3"/>
      <c r="I3590" s="3"/>
      <c r="J3590" s="3"/>
      <c r="K3590" s="3"/>
      <c r="L3590" s="3"/>
      <c r="M3590" s="3"/>
      <c r="N3590" s="3"/>
    </row>
    <row r="3591" spans="1:14" ht="16.5" customHeight="1">
      <c r="A3591" s="3"/>
      <c r="B3591" s="3"/>
      <c r="C3591" s="3"/>
      <c r="D3591" s="3"/>
      <c r="E3591" s="3"/>
      <c r="F3591" s="3"/>
      <c r="G3591" s="3"/>
      <c r="H3591" s="3"/>
      <c r="I3591" s="3"/>
      <c r="J3591" s="3"/>
      <c r="K3591" s="3"/>
      <c r="L3591" s="3"/>
      <c r="M3591" s="3"/>
      <c r="N3591" s="3"/>
    </row>
    <row r="3592" spans="1:14" ht="16.5" customHeight="1">
      <c r="A3592" s="3"/>
      <c r="B3592" s="3"/>
      <c r="C3592" s="3"/>
      <c r="D3592" s="3"/>
      <c r="E3592" s="3"/>
      <c r="F3592" s="3"/>
      <c r="G3592" s="3"/>
      <c r="H3592" s="3"/>
      <c r="I3592" s="3"/>
      <c r="J3592" s="3"/>
      <c r="K3592" s="3"/>
      <c r="L3592" s="3"/>
      <c r="M3592" s="3"/>
      <c r="N3592" s="3"/>
    </row>
    <row r="3593" spans="1:14" ht="16.5" customHeight="1">
      <c r="A3593" s="3"/>
      <c r="B3593" s="3"/>
      <c r="C3593" s="3"/>
      <c r="D3593" s="3"/>
      <c r="E3593" s="3"/>
      <c r="F3593" s="3"/>
      <c r="G3593" s="3"/>
      <c r="H3593" s="3"/>
      <c r="I3593" s="3"/>
      <c r="J3593" s="3"/>
      <c r="K3593" s="3"/>
      <c r="L3593" s="3"/>
      <c r="M3593" s="3"/>
      <c r="N3593" s="3"/>
    </row>
    <row r="3594" spans="1:14" ht="16.5" customHeight="1">
      <c r="A3594" s="3"/>
      <c r="B3594" s="3"/>
      <c r="C3594" s="3"/>
      <c r="D3594" s="3"/>
      <c r="E3594" s="3"/>
      <c r="F3594" s="3"/>
      <c r="G3594" s="3"/>
      <c r="H3594" s="3"/>
      <c r="I3594" s="3"/>
      <c r="J3594" s="3"/>
      <c r="K3594" s="3"/>
      <c r="L3594" s="3"/>
      <c r="M3594" s="3"/>
      <c r="N3594" s="3"/>
    </row>
    <row r="3595" spans="1:14" ht="16.5" customHeight="1">
      <c r="A3595" s="3"/>
      <c r="B3595" s="3"/>
      <c r="C3595" s="3"/>
      <c r="D3595" s="3"/>
      <c r="E3595" s="3"/>
      <c r="F3595" s="3"/>
      <c r="G3595" s="3"/>
      <c r="H3595" s="3"/>
      <c r="I3595" s="3"/>
      <c r="J3595" s="3"/>
      <c r="K3595" s="3"/>
      <c r="L3595" s="3"/>
      <c r="M3595" s="3"/>
      <c r="N3595" s="3"/>
    </row>
    <row r="3596" spans="1:14" ht="16.5" customHeight="1">
      <c r="A3596" s="3"/>
      <c r="B3596" s="3"/>
      <c r="C3596" s="3"/>
      <c r="D3596" s="3"/>
      <c r="E3596" s="3"/>
      <c r="F3596" s="3"/>
      <c r="G3596" s="3"/>
      <c r="H3596" s="3"/>
      <c r="I3596" s="3"/>
      <c r="J3596" s="3"/>
      <c r="K3596" s="3"/>
      <c r="L3596" s="3"/>
      <c r="M3596" s="3"/>
      <c r="N3596" s="3"/>
    </row>
    <row r="3597" spans="1:14" ht="16.5" customHeight="1">
      <c r="A3597" s="3"/>
      <c r="B3597" s="3"/>
      <c r="C3597" s="3"/>
      <c r="D3597" s="3"/>
      <c r="E3597" s="3"/>
      <c r="F3597" s="3"/>
      <c r="G3597" s="3"/>
      <c r="H3597" s="3"/>
      <c r="I3597" s="3"/>
      <c r="J3597" s="3"/>
      <c r="K3597" s="3"/>
      <c r="L3597" s="3"/>
      <c r="M3597" s="3"/>
      <c r="N3597" s="3"/>
    </row>
    <row r="3598" spans="1:14" ht="16.5" customHeight="1">
      <c r="A3598" s="3"/>
      <c r="B3598" s="3"/>
      <c r="C3598" s="3"/>
      <c r="D3598" s="3"/>
      <c r="E3598" s="3"/>
      <c r="F3598" s="3"/>
      <c r="G3598" s="3"/>
      <c r="H3598" s="3"/>
      <c r="I3598" s="3"/>
      <c r="J3598" s="3"/>
      <c r="K3598" s="3"/>
      <c r="L3598" s="3"/>
      <c r="M3598" s="3"/>
      <c r="N3598" s="3"/>
    </row>
    <row r="3599" spans="1:14" ht="16.5" customHeight="1">
      <c r="A3599" s="3"/>
      <c r="B3599" s="3"/>
      <c r="C3599" s="3"/>
      <c r="D3599" s="3"/>
      <c r="E3599" s="3"/>
      <c r="F3599" s="3"/>
      <c r="G3599" s="3"/>
      <c r="H3599" s="3"/>
      <c r="I3599" s="3"/>
      <c r="J3599" s="3"/>
      <c r="K3599" s="3"/>
      <c r="L3599" s="3"/>
      <c r="M3599" s="3"/>
      <c r="N3599" s="3"/>
    </row>
    <row r="3600" spans="1:14" ht="16.5" customHeight="1">
      <c r="A3600" s="3"/>
      <c r="B3600" s="3"/>
      <c r="C3600" s="3"/>
      <c r="D3600" s="3"/>
      <c r="E3600" s="3"/>
      <c r="F3600" s="3"/>
      <c r="G3600" s="3"/>
      <c r="H3600" s="3"/>
      <c r="I3600" s="3"/>
      <c r="J3600" s="3"/>
      <c r="K3600" s="3"/>
      <c r="L3600" s="3"/>
      <c r="M3600" s="3"/>
      <c r="N3600" s="3"/>
    </row>
    <row r="3601" spans="1:14" ht="16.5" customHeight="1">
      <c r="A3601" s="3"/>
      <c r="B3601" s="3"/>
      <c r="C3601" s="3"/>
      <c r="D3601" s="3"/>
      <c r="E3601" s="3"/>
      <c r="F3601" s="3"/>
      <c r="G3601" s="3"/>
      <c r="H3601" s="3"/>
      <c r="I3601" s="3"/>
      <c r="J3601" s="3"/>
      <c r="K3601" s="3"/>
      <c r="L3601" s="3"/>
      <c r="M3601" s="3"/>
      <c r="N3601" s="3"/>
    </row>
    <row r="3602" spans="1:14" ht="16.5" customHeight="1">
      <c r="A3602" s="3"/>
      <c r="B3602" s="3"/>
      <c r="C3602" s="3"/>
      <c r="D3602" s="3"/>
      <c r="E3602" s="3"/>
      <c r="F3602" s="3"/>
      <c r="G3602" s="3"/>
      <c r="H3602" s="3"/>
      <c r="I3602" s="3"/>
      <c r="J3602" s="3"/>
      <c r="K3602" s="3"/>
      <c r="L3602" s="3"/>
      <c r="M3602" s="3"/>
      <c r="N3602" s="3"/>
    </row>
    <row r="3603" spans="1:14" ht="16.5" customHeight="1">
      <c r="A3603" s="3"/>
      <c r="B3603" s="3"/>
      <c r="C3603" s="3"/>
      <c r="D3603" s="3"/>
      <c r="E3603" s="3"/>
      <c r="F3603" s="3"/>
      <c r="G3603" s="3"/>
      <c r="H3603" s="3"/>
      <c r="I3603" s="3"/>
      <c r="J3603" s="3"/>
      <c r="K3603" s="3"/>
      <c r="L3603" s="3"/>
      <c r="M3603" s="3"/>
      <c r="N3603" s="3"/>
    </row>
    <row r="3604" spans="1:14" ht="16.5" customHeight="1">
      <c r="A3604" s="3"/>
      <c r="B3604" s="3"/>
      <c r="C3604" s="3"/>
      <c r="D3604" s="3"/>
      <c r="E3604" s="3"/>
      <c r="F3604" s="3"/>
      <c r="G3604" s="3"/>
      <c r="H3604" s="3"/>
      <c r="I3604" s="3"/>
      <c r="J3604" s="3"/>
      <c r="K3604" s="3"/>
      <c r="L3604" s="3"/>
      <c r="M3604" s="3"/>
      <c r="N3604" s="3"/>
    </row>
    <row r="3605" spans="1:14" ht="16.5" customHeight="1">
      <c r="A3605" s="3"/>
      <c r="B3605" s="3"/>
      <c r="C3605" s="3"/>
      <c r="D3605" s="3"/>
      <c r="E3605" s="3"/>
      <c r="F3605" s="3"/>
      <c r="G3605" s="3"/>
      <c r="H3605" s="3"/>
      <c r="I3605" s="3"/>
      <c r="J3605" s="3"/>
      <c r="K3605" s="3"/>
      <c r="L3605" s="3"/>
      <c r="M3605" s="3"/>
      <c r="N3605" s="3"/>
    </row>
    <row r="3606" spans="1:14" ht="16.5" customHeight="1">
      <c r="A3606" s="3"/>
      <c r="B3606" s="3"/>
      <c r="C3606" s="3"/>
      <c r="D3606" s="3"/>
      <c r="E3606" s="3"/>
      <c r="F3606" s="3"/>
      <c r="G3606" s="3"/>
      <c r="H3606" s="3"/>
      <c r="I3606" s="3"/>
      <c r="J3606" s="3"/>
      <c r="K3606" s="3"/>
      <c r="L3606" s="3"/>
      <c r="M3606" s="3"/>
      <c r="N3606" s="3"/>
    </row>
    <row r="3607" spans="1:14" ht="16.5" customHeight="1">
      <c r="A3607" s="3"/>
      <c r="B3607" s="3"/>
      <c r="C3607" s="3"/>
      <c r="D3607" s="3"/>
      <c r="E3607" s="3"/>
      <c r="F3607" s="3"/>
      <c r="G3607" s="3"/>
      <c r="H3607" s="3"/>
      <c r="I3607" s="3"/>
      <c r="J3607" s="3"/>
      <c r="K3607" s="3"/>
      <c r="L3607" s="3"/>
      <c r="M3607" s="3"/>
      <c r="N3607" s="3"/>
    </row>
    <row r="3608" spans="1:14" ht="16.5" customHeight="1">
      <c r="A3608" s="3"/>
      <c r="B3608" s="3"/>
      <c r="C3608" s="3"/>
      <c r="D3608" s="3"/>
      <c r="E3608" s="3"/>
      <c r="F3608" s="3"/>
      <c r="G3608" s="3"/>
      <c r="H3608" s="3"/>
      <c r="I3608" s="3"/>
      <c r="J3608" s="3"/>
      <c r="K3608" s="3"/>
      <c r="L3608" s="3"/>
      <c r="M3608" s="3"/>
      <c r="N3608" s="3"/>
    </row>
    <row r="3609" spans="1:14" ht="16.5" customHeight="1">
      <c r="A3609" s="3"/>
      <c r="B3609" s="3"/>
      <c r="C3609" s="3"/>
      <c r="D3609" s="3"/>
      <c r="E3609" s="3"/>
      <c r="F3609" s="3"/>
      <c r="G3609" s="3"/>
      <c r="H3609" s="3"/>
      <c r="I3609" s="3"/>
      <c r="J3609" s="3"/>
      <c r="K3609" s="3"/>
      <c r="L3609" s="3"/>
      <c r="M3609" s="3"/>
      <c r="N3609" s="3"/>
    </row>
    <row r="3610" spans="1:14" ht="16.5" customHeight="1">
      <c r="A3610" s="3"/>
      <c r="B3610" s="3"/>
      <c r="C3610" s="3"/>
      <c r="D3610" s="3"/>
      <c r="E3610" s="3"/>
      <c r="F3610" s="3"/>
      <c r="G3610" s="3"/>
      <c r="H3610" s="3"/>
      <c r="I3610" s="3"/>
      <c r="J3610" s="3"/>
      <c r="K3610" s="3"/>
      <c r="L3610" s="3"/>
      <c r="M3610" s="3"/>
      <c r="N3610" s="3"/>
    </row>
    <row r="3611" spans="1:14" ht="16.5" customHeight="1">
      <c r="A3611" s="3"/>
      <c r="B3611" s="3"/>
      <c r="C3611" s="3"/>
      <c r="D3611" s="3"/>
      <c r="E3611" s="3"/>
      <c r="F3611" s="3"/>
      <c r="G3611" s="3"/>
      <c r="H3611" s="3"/>
      <c r="I3611" s="3"/>
      <c r="J3611" s="3"/>
      <c r="K3611" s="3"/>
      <c r="L3611" s="3"/>
      <c r="M3611" s="3"/>
      <c r="N3611" s="3"/>
    </row>
    <row r="3612" spans="1:14" ht="16.5" customHeight="1">
      <c r="A3612" s="3"/>
      <c r="B3612" s="3"/>
      <c r="C3612" s="3"/>
      <c r="D3612" s="3"/>
      <c r="E3612" s="3"/>
      <c r="F3612" s="3"/>
      <c r="G3612" s="3"/>
      <c r="H3612" s="3"/>
      <c r="I3612" s="3"/>
      <c r="J3612" s="3"/>
      <c r="K3612" s="3"/>
      <c r="L3612" s="3"/>
      <c r="M3612" s="3"/>
      <c r="N3612" s="3"/>
    </row>
    <row r="3613" spans="1:14" ht="16.5" customHeight="1">
      <c r="A3613" s="3"/>
      <c r="B3613" s="3"/>
      <c r="C3613" s="3"/>
      <c r="D3613" s="3"/>
      <c r="E3613" s="3"/>
      <c r="F3613" s="3"/>
      <c r="G3613" s="3"/>
      <c r="H3613" s="3"/>
      <c r="I3613" s="3"/>
      <c r="J3613" s="3"/>
      <c r="K3613" s="3"/>
      <c r="L3613" s="3"/>
      <c r="M3613" s="3"/>
      <c r="N3613" s="3"/>
    </row>
    <row r="3614" spans="1:14" ht="16.5" customHeight="1">
      <c r="A3614" s="3"/>
      <c r="B3614" s="3"/>
      <c r="C3614" s="3"/>
      <c r="D3614" s="3"/>
      <c r="E3614" s="3"/>
      <c r="F3614" s="3"/>
      <c r="G3614" s="3"/>
      <c r="H3614" s="3"/>
      <c r="I3614" s="3"/>
      <c r="J3614" s="3"/>
      <c r="K3614" s="3"/>
      <c r="L3614" s="3"/>
      <c r="M3614" s="3"/>
      <c r="N3614" s="3"/>
    </row>
    <row r="3615" spans="1:14" ht="16.5" customHeight="1">
      <c r="A3615" s="3"/>
      <c r="B3615" s="3"/>
      <c r="C3615" s="3"/>
      <c r="D3615" s="3"/>
      <c r="E3615" s="3"/>
      <c r="F3615" s="3"/>
      <c r="G3615" s="3"/>
      <c r="H3615" s="3"/>
      <c r="I3615" s="3"/>
      <c r="J3615" s="3"/>
      <c r="K3615" s="3"/>
      <c r="L3615" s="3"/>
      <c r="M3615" s="3"/>
      <c r="N3615" s="3"/>
    </row>
    <row r="3616" spans="1:14" ht="16.5" customHeight="1">
      <c r="A3616" s="3"/>
      <c r="B3616" s="3"/>
      <c r="C3616" s="3"/>
      <c r="D3616" s="3"/>
      <c r="E3616" s="3"/>
      <c r="F3616" s="3"/>
      <c r="G3616" s="3"/>
      <c r="H3616" s="3"/>
      <c r="I3616" s="3"/>
      <c r="J3616" s="3"/>
      <c r="K3616" s="3"/>
      <c r="L3616" s="3"/>
      <c r="M3616" s="3"/>
      <c r="N3616" s="3"/>
    </row>
    <row r="3617" spans="1:14" ht="16.5" customHeight="1">
      <c r="A3617" s="3"/>
      <c r="B3617" s="3"/>
      <c r="C3617" s="3"/>
      <c r="D3617" s="3"/>
      <c r="E3617" s="3"/>
      <c r="F3617" s="3"/>
      <c r="G3617" s="3"/>
      <c r="H3617" s="3"/>
      <c r="I3617" s="3"/>
      <c r="J3617" s="3"/>
      <c r="K3617" s="3"/>
      <c r="L3617" s="3"/>
      <c r="M3617" s="3"/>
      <c r="N3617" s="3"/>
    </row>
    <row r="3618" spans="1:14" ht="16.5" customHeight="1">
      <c r="A3618" s="3"/>
      <c r="B3618" s="3"/>
      <c r="C3618" s="3"/>
      <c r="D3618" s="3"/>
      <c r="E3618" s="3"/>
      <c r="F3618" s="3"/>
      <c r="G3618" s="3"/>
      <c r="H3618" s="3"/>
      <c r="I3618" s="3"/>
      <c r="J3618" s="3"/>
      <c r="K3618" s="3"/>
      <c r="L3618" s="3"/>
      <c r="M3618" s="3"/>
      <c r="N3618" s="3"/>
    </row>
    <row r="3619" spans="1:14" ht="16.5" customHeight="1">
      <c r="A3619" s="3"/>
      <c r="B3619" s="3"/>
      <c r="C3619" s="3"/>
      <c r="D3619" s="3"/>
      <c r="E3619" s="3"/>
      <c r="F3619" s="3"/>
      <c r="G3619" s="3"/>
      <c r="H3619" s="3"/>
      <c r="I3619" s="3"/>
      <c r="J3619" s="3"/>
      <c r="K3619" s="3"/>
      <c r="L3619" s="3"/>
      <c r="M3619" s="3"/>
      <c r="N3619" s="3"/>
    </row>
    <row r="3620" spans="1:14" ht="16.5" customHeight="1">
      <c r="A3620" s="3"/>
      <c r="B3620" s="3"/>
      <c r="C3620" s="3"/>
      <c r="D3620" s="3"/>
      <c r="E3620" s="3"/>
      <c r="F3620" s="3"/>
      <c r="G3620" s="3"/>
      <c r="H3620" s="3"/>
      <c r="I3620" s="3"/>
      <c r="J3620" s="3"/>
      <c r="K3620" s="3"/>
      <c r="L3620" s="3"/>
      <c r="M3620" s="3"/>
      <c r="N3620" s="3"/>
    </row>
    <row r="3621" spans="1:14" ht="16.5" customHeight="1">
      <c r="A3621" s="3"/>
      <c r="B3621" s="3"/>
      <c r="C3621" s="3"/>
      <c r="D3621" s="3"/>
      <c r="E3621" s="3"/>
      <c r="F3621" s="3"/>
      <c r="G3621" s="3"/>
      <c r="H3621" s="3"/>
      <c r="I3621" s="3"/>
      <c r="J3621" s="3"/>
      <c r="K3621" s="3"/>
      <c r="L3621" s="3"/>
      <c r="M3621" s="3"/>
      <c r="N3621" s="3"/>
    </row>
    <row r="3622" spans="1:14" ht="16.5" customHeight="1">
      <c r="A3622" s="3"/>
      <c r="B3622" s="3"/>
      <c r="C3622" s="3"/>
      <c r="D3622" s="3"/>
      <c r="E3622" s="3"/>
      <c r="F3622" s="3"/>
      <c r="G3622" s="3"/>
      <c r="H3622" s="3"/>
      <c r="I3622" s="3"/>
      <c r="J3622" s="3"/>
      <c r="K3622" s="3"/>
      <c r="L3622" s="3"/>
      <c r="M3622" s="3"/>
      <c r="N3622" s="3"/>
    </row>
    <row r="3623" spans="1:14" ht="16.5" customHeight="1">
      <c r="A3623" s="3"/>
      <c r="B3623" s="3"/>
      <c r="C3623" s="3"/>
      <c r="D3623" s="3"/>
      <c r="E3623" s="3"/>
      <c r="F3623" s="3"/>
      <c r="G3623" s="3"/>
      <c r="H3623" s="3"/>
      <c r="I3623" s="3"/>
      <c r="J3623" s="3"/>
      <c r="K3623" s="3"/>
      <c r="L3623" s="3"/>
      <c r="M3623" s="3"/>
      <c r="N3623" s="3"/>
    </row>
    <row r="3624" spans="1:14" ht="16.5" customHeight="1">
      <c r="A3624" s="3"/>
      <c r="B3624" s="3"/>
      <c r="C3624" s="3"/>
      <c r="D3624" s="3"/>
      <c r="E3624" s="3"/>
      <c r="F3624" s="3"/>
      <c r="G3624" s="3"/>
      <c r="H3624" s="3"/>
      <c r="I3624" s="3"/>
      <c r="J3624" s="3"/>
      <c r="K3624" s="3"/>
      <c r="L3624" s="3"/>
      <c r="M3624" s="3"/>
      <c r="N3624" s="3"/>
    </row>
    <row r="3625" spans="1:14" ht="16.5" customHeight="1">
      <c r="A3625" s="3"/>
      <c r="B3625" s="3"/>
      <c r="C3625" s="3"/>
      <c r="D3625" s="3"/>
      <c r="E3625" s="3"/>
      <c r="F3625" s="3"/>
      <c r="G3625" s="3"/>
      <c r="H3625" s="3"/>
      <c r="I3625" s="3"/>
      <c r="J3625" s="3"/>
      <c r="K3625" s="3"/>
      <c r="L3625" s="3"/>
      <c r="M3625" s="3"/>
      <c r="N3625" s="3"/>
    </row>
    <row r="3626" spans="1:14" ht="16.5" customHeight="1">
      <c r="A3626" s="3"/>
      <c r="B3626" s="3"/>
      <c r="C3626" s="3"/>
      <c r="D3626" s="3"/>
      <c r="E3626" s="3"/>
      <c r="F3626" s="3"/>
      <c r="G3626" s="3"/>
      <c r="H3626" s="3"/>
      <c r="I3626" s="3"/>
      <c r="J3626" s="3"/>
      <c r="K3626" s="3"/>
      <c r="L3626" s="3"/>
      <c r="M3626" s="3"/>
      <c r="N3626" s="3"/>
    </row>
    <row r="3627" spans="1:14" ht="16.5" customHeight="1">
      <c r="A3627" s="3"/>
      <c r="B3627" s="3"/>
      <c r="C3627" s="3"/>
      <c r="D3627" s="3"/>
      <c r="E3627" s="3"/>
      <c r="F3627" s="3"/>
      <c r="G3627" s="3"/>
      <c r="H3627" s="3"/>
      <c r="I3627" s="3"/>
      <c r="J3627" s="3"/>
      <c r="K3627" s="3"/>
      <c r="L3627" s="3"/>
      <c r="M3627" s="3"/>
      <c r="N3627" s="3"/>
    </row>
    <row r="3628" spans="1:14" ht="16.5" customHeight="1">
      <c r="A3628" s="3"/>
      <c r="B3628" s="3"/>
      <c r="C3628" s="3"/>
      <c r="D3628" s="3"/>
      <c r="E3628" s="3"/>
      <c r="F3628" s="3"/>
      <c r="G3628" s="3"/>
      <c r="H3628" s="3"/>
      <c r="I3628" s="3"/>
      <c r="J3628" s="3"/>
      <c r="K3628" s="3"/>
      <c r="L3628" s="3"/>
      <c r="M3628" s="3"/>
      <c r="N3628" s="3"/>
    </row>
    <row r="3629" spans="1:14" ht="16.5" customHeight="1">
      <c r="A3629" s="3"/>
      <c r="B3629" s="3"/>
      <c r="C3629" s="3"/>
      <c r="D3629" s="3"/>
      <c r="E3629" s="3"/>
      <c r="F3629" s="3"/>
      <c r="G3629" s="3"/>
      <c r="H3629" s="3"/>
      <c r="I3629" s="3"/>
      <c r="J3629" s="3"/>
      <c r="K3629" s="3"/>
      <c r="L3629" s="3"/>
      <c r="M3629" s="3"/>
      <c r="N3629" s="3"/>
    </row>
    <row r="3630" spans="1:14" ht="16.5" customHeight="1">
      <c r="A3630" s="3"/>
      <c r="B3630" s="3"/>
      <c r="C3630" s="3"/>
      <c r="D3630" s="3"/>
      <c r="E3630" s="3"/>
      <c r="F3630" s="3"/>
      <c r="G3630" s="3"/>
      <c r="H3630" s="3"/>
      <c r="I3630" s="3"/>
      <c r="J3630" s="3"/>
      <c r="K3630" s="3"/>
      <c r="L3630" s="3"/>
      <c r="M3630" s="3"/>
      <c r="N3630" s="3"/>
    </row>
    <row r="3631" spans="1:14" ht="16.5" customHeight="1">
      <c r="A3631" s="3"/>
      <c r="B3631" s="3"/>
      <c r="C3631" s="3"/>
      <c r="D3631" s="3"/>
      <c r="E3631" s="3"/>
      <c r="F3631" s="3"/>
      <c r="G3631" s="3"/>
      <c r="H3631" s="3"/>
      <c r="I3631" s="3"/>
      <c r="J3631" s="3"/>
      <c r="K3631" s="3"/>
      <c r="L3631" s="3"/>
      <c r="M3631" s="3"/>
      <c r="N3631" s="3"/>
    </row>
    <row r="3632" spans="1:14" ht="16.5" customHeight="1">
      <c r="A3632" s="3"/>
      <c r="B3632" s="3"/>
      <c r="C3632" s="3"/>
      <c r="D3632" s="3"/>
      <c r="E3632" s="3"/>
      <c r="F3632" s="3"/>
      <c r="G3632" s="3"/>
      <c r="H3632" s="3"/>
      <c r="I3632" s="3"/>
      <c r="J3632" s="3"/>
      <c r="K3632" s="3"/>
      <c r="L3632" s="3"/>
      <c r="M3632" s="3"/>
      <c r="N3632" s="3"/>
    </row>
    <row r="3633" spans="1:14" ht="16.5" customHeight="1">
      <c r="A3633" s="3"/>
      <c r="B3633" s="3"/>
      <c r="C3633" s="3"/>
      <c r="D3633" s="3"/>
      <c r="E3633" s="3"/>
      <c r="F3633" s="3"/>
      <c r="G3633" s="3"/>
      <c r="H3633" s="3"/>
      <c r="I3633" s="3"/>
      <c r="J3633" s="3"/>
      <c r="K3633" s="3"/>
      <c r="L3633" s="3"/>
      <c r="M3633" s="3"/>
      <c r="N3633" s="3"/>
    </row>
    <row r="3634" spans="1:14" ht="16.5" customHeight="1">
      <c r="A3634" s="3"/>
      <c r="B3634" s="3"/>
      <c r="C3634" s="3"/>
      <c r="D3634" s="3"/>
      <c r="E3634" s="3"/>
      <c r="F3634" s="3"/>
      <c r="G3634" s="3"/>
      <c r="H3634" s="3"/>
      <c r="I3634" s="3"/>
      <c r="J3634" s="3"/>
      <c r="K3634" s="3"/>
      <c r="L3634" s="3"/>
      <c r="M3634" s="3"/>
      <c r="N3634" s="3"/>
    </row>
    <row r="3635" spans="1:14" ht="16.5" customHeight="1">
      <c r="A3635" s="3"/>
      <c r="B3635" s="3"/>
      <c r="C3635" s="3"/>
      <c r="D3635" s="3"/>
      <c r="E3635" s="3"/>
      <c r="F3635" s="3"/>
      <c r="G3635" s="3"/>
      <c r="H3635" s="3"/>
      <c r="I3635" s="3"/>
      <c r="J3635" s="3"/>
      <c r="K3635" s="3"/>
      <c r="L3635" s="3"/>
      <c r="M3635" s="3"/>
      <c r="N3635" s="3"/>
    </row>
    <row r="3636" spans="1:14" ht="16.5" customHeight="1">
      <c r="A3636" s="3"/>
      <c r="B3636" s="3"/>
      <c r="C3636" s="3"/>
      <c r="D3636" s="3"/>
      <c r="E3636" s="3"/>
      <c r="F3636" s="3"/>
      <c r="G3636" s="3"/>
      <c r="H3636" s="3"/>
      <c r="I3636" s="3"/>
      <c r="J3636" s="3"/>
      <c r="K3636" s="3"/>
      <c r="L3636" s="3"/>
      <c r="M3636" s="3"/>
      <c r="N3636" s="3"/>
    </row>
    <row r="3637" spans="1:14" ht="16.5" customHeight="1">
      <c r="A3637" s="3"/>
      <c r="B3637" s="3"/>
      <c r="C3637" s="3"/>
      <c r="D3637" s="3"/>
      <c r="E3637" s="3"/>
      <c r="F3637" s="3"/>
      <c r="G3637" s="3"/>
      <c r="H3637" s="3"/>
      <c r="I3637" s="3"/>
      <c r="J3637" s="3"/>
      <c r="K3637" s="3"/>
      <c r="L3637" s="3"/>
      <c r="M3637" s="3"/>
      <c r="N3637" s="3"/>
    </row>
    <row r="3638" spans="1:14" ht="16.5" customHeight="1">
      <c r="A3638" s="3"/>
      <c r="B3638" s="3"/>
      <c r="C3638" s="3"/>
      <c r="D3638" s="3"/>
      <c r="E3638" s="3"/>
      <c r="F3638" s="3"/>
      <c r="G3638" s="3"/>
      <c r="H3638" s="3"/>
      <c r="I3638" s="3"/>
      <c r="J3638" s="3"/>
      <c r="K3638" s="3"/>
      <c r="L3638" s="3"/>
      <c r="M3638" s="3"/>
      <c r="N3638" s="3"/>
    </row>
    <row r="3639" spans="1:14" ht="16.5" customHeight="1">
      <c r="A3639" s="3"/>
      <c r="B3639" s="3"/>
      <c r="C3639" s="3"/>
      <c r="D3639" s="3"/>
      <c r="E3639" s="3"/>
      <c r="F3639" s="3"/>
      <c r="G3639" s="3"/>
      <c r="H3639" s="3"/>
      <c r="I3639" s="3"/>
      <c r="J3639" s="3"/>
      <c r="K3639" s="3"/>
      <c r="L3639" s="3"/>
      <c r="M3639" s="3"/>
      <c r="N3639" s="3"/>
    </row>
    <row r="3640" spans="1:14" ht="16.5" customHeight="1">
      <c r="A3640" s="3"/>
      <c r="B3640" s="3"/>
      <c r="C3640" s="3"/>
      <c r="D3640" s="3"/>
      <c r="E3640" s="3"/>
      <c r="F3640" s="3"/>
      <c r="G3640" s="3"/>
      <c r="H3640" s="3"/>
      <c r="I3640" s="3"/>
      <c r="J3640" s="3"/>
      <c r="K3640" s="3"/>
      <c r="L3640" s="3"/>
      <c r="M3640" s="3"/>
      <c r="N3640" s="3"/>
    </row>
    <row r="3641" spans="1:14" ht="16.5" customHeight="1">
      <c r="A3641" s="3"/>
      <c r="B3641" s="3"/>
      <c r="C3641" s="3"/>
      <c r="D3641" s="3"/>
      <c r="E3641" s="3"/>
      <c r="F3641" s="3"/>
      <c r="G3641" s="3"/>
      <c r="H3641" s="3"/>
      <c r="I3641" s="3"/>
      <c r="J3641" s="3"/>
      <c r="K3641" s="3"/>
      <c r="L3641" s="3"/>
      <c r="M3641" s="3"/>
      <c r="N3641" s="3"/>
    </row>
    <row r="3642" spans="1:14" ht="16.5" customHeight="1">
      <c r="A3642" s="3"/>
      <c r="B3642" s="3"/>
      <c r="C3642" s="3"/>
      <c r="D3642" s="3"/>
      <c r="E3642" s="3"/>
      <c r="F3642" s="3"/>
      <c r="G3642" s="3"/>
      <c r="H3642" s="3"/>
      <c r="I3642" s="3"/>
      <c r="J3642" s="3"/>
      <c r="K3642" s="3"/>
      <c r="L3642" s="3"/>
      <c r="M3642" s="3"/>
      <c r="N3642" s="3"/>
    </row>
    <row r="3643" spans="1:14" ht="16.5" customHeight="1">
      <c r="A3643" s="3"/>
      <c r="B3643" s="3"/>
      <c r="C3643" s="3"/>
      <c r="D3643" s="3"/>
      <c r="E3643" s="3"/>
      <c r="F3643" s="3"/>
      <c r="G3643" s="3"/>
      <c r="H3643" s="3"/>
      <c r="I3643" s="3"/>
      <c r="J3643" s="3"/>
      <c r="K3643" s="3"/>
      <c r="L3643" s="3"/>
      <c r="M3643" s="3"/>
      <c r="N3643" s="3"/>
    </row>
    <row r="3644" spans="1:14" ht="16.5" customHeight="1">
      <c r="A3644" s="3"/>
      <c r="B3644" s="3"/>
      <c r="C3644" s="3"/>
      <c r="D3644" s="3"/>
      <c r="E3644" s="3"/>
      <c r="F3644" s="3"/>
      <c r="G3644" s="3"/>
      <c r="H3644" s="3"/>
      <c r="I3644" s="3"/>
      <c r="J3644" s="3"/>
      <c r="K3644" s="3"/>
      <c r="L3644" s="3"/>
      <c r="M3644" s="3"/>
      <c r="N3644" s="3"/>
    </row>
    <row r="3645" spans="1:14" ht="16.5" customHeight="1">
      <c r="A3645" s="3"/>
      <c r="B3645" s="3"/>
      <c r="C3645" s="3"/>
      <c r="D3645" s="3"/>
      <c r="E3645" s="3"/>
      <c r="F3645" s="3"/>
      <c r="G3645" s="3"/>
      <c r="H3645" s="3"/>
      <c r="I3645" s="3"/>
      <c r="J3645" s="3"/>
      <c r="K3645" s="3"/>
      <c r="L3645" s="3"/>
      <c r="M3645" s="3"/>
      <c r="N3645" s="3"/>
    </row>
    <row r="3646" spans="1:14" ht="16.5" customHeight="1">
      <c r="A3646" s="3"/>
      <c r="B3646" s="3"/>
      <c r="C3646" s="3"/>
      <c r="D3646" s="3"/>
      <c r="E3646" s="3"/>
      <c r="F3646" s="3"/>
      <c r="G3646" s="3"/>
      <c r="H3646" s="3"/>
      <c r="I3646" s="3"/>
      <c r="J3646" s="3"/>
      <c r="K3646" s="3"/>
      <c r="L3646" s="3"/>
      <c r="M3646" s="3"/>
      <c r="N3646" s="3"/>
    </row>
    <row r="3647" spans="1:14" ht="16.5" customHeight="1">
      <c r="A3647" s="3"/>
      <c r="B3647" s="3"/>
      <c r="C3647" s="3"/>
      <c r="D3647" s="3"/>
      <c r="E3647" s="3"/>
      <c r="F3647" s="3"/>
      <c r="G3647" s="3"/>
      <c r="H3647" s="3"/>
      <c r="I3647" s="3"/>
      <c r="J3647" s="3"/>
      <c r="K3647" s="3"/>
      <c r="L3647" s="3"/>
      <c r="M3647" s="3"/>
      <c r="N3647" s="3"/>
    </row>
    <row r="3648" spans="1:14" ht="16.5" customHeight="1">
      <c r="A3648" s="3"/>
      <c r="B3648" s="3"/>
      <c r="C3648" s="3"/>
      <c r="D3648" s="3"/>
      <c r="E3648" s="3"/>
      <c r="F3648" s="3"/>
      <c r="G3648" s="3"/>
      <c r="H3648" s="3"/>
      <c r="I3648" s="3"/>
      <c r="J3648" s="3"/>
      <c r="K3648" s="3"/>
      <c r="L3648" s="3"/>
      <c r="M3648" s="3"/>
      <c r="N3648" s="3"/>
    </row>
    <row r="3649" spans="1:14" ht="16.5" customHeight="1">
      <c r="A3649" s="3"/>
      <c r="B3649" s="3"/>
      <c r="C3649" s="3"/>
      <c r="D3649" s="3"/>
      <c r="E3649" s="3"/>
      <c r="F3649" s="3"/>
      <c r="G3649" s="3"/>
      <c r="H3649" s="3"/>
      <c r="I3649" s="3"/>
      <c r="J3649" s="3"/>
      <c r="K3649" s="3"/>
      <c r="L3649" s="3"/>
      <c r="M3649" s="3"/>
      <c r="N3649" s="3"/>
    </row>
    <row r="3650" spans="1:14" ht="16.5" customHeight="1">
      <c r="A3650" s="3"/>
      <c r="B3650" s="3"/>
      <c r="C3650" s="3"/>
      <c r="D3650" s="3"/>
      <c r="E3650" s="3"/>
      <c r="F3650" s="3"/>
      <c r="G3650" s="3"/>
      <c r="H3650" s="3"/>
      <c r="I3650" s="3"/>
      <c r="J3650" s="3"/>
      <c r="K3650" s="3"/>
      <c r="L3650" s="3"/>
      <c r="M3650" s="3"/>
      <c r="N3650" s="3"/>
    </row>
    <row r="3651" spans="1:14" ht="16.5" customHeight="1">
      <c r="A3651" s="3"/>
      <c r="B3651" s="3"/>
      <c r="C3651" s="3"/>
      <c r="D3651" s="3"/>
      <c r="E3651" s="3"/>
      <c r="F3651" s="3"/>
      <c r="G3651" s="3"/>
      <c r="H3651" s="3"/>
      <c r="I3651" s="3"/>
      <c r="J3651" s="3"/>
      <c r="K3651" s="3"/>
      <c r="L3651" s="3"/>
      <c r="M3651" s="3"/>
      <c r="N3651" s="3"/>
    </row>
    <row r="3652" spans="1:14" ht="16.5" customHeight="1">
      <c r="A3652" s="3"/>
      <c r="B3652" s="3"/>
      <c r="C3652" s="3"/>
      <c r="D3652" s="3"/>
      <c r="E3652" s="3"/>
      <c r="F3652" s="3"/>
      <c r="G3652" s="3"/>
      <c r="H3652" s="3"/>
      <c r="I3652" s="3"/>
      <c r="J3652" s="3"/>
      <c r="K3652" s="3"/>
      <c r="L3652" s="3"/>
      <c r="M3652" s="3"/>
      <c r="N3652" s="3"/>
    </row>
    <row r="3653" spans="1:14" ht="16.5" customHeight="1">
      <c r="A3653" s="3"/>
      <c r="B3653" s="3"/>
      <c r="C3653" s="3"/>
      <c r="D3653" s="3"/>
      <c r="E3653" s="3"/>
      <c r="F3653" s="3"/>
      <c r="G3653" s="3"/>
      <c r="H3653" s="3"/>
      <c r="I3653" s="3"/>
      <c r="J3653" s="3"/>
      <c r="K3653" s="3"/>
      <c r="L3653" s="3"/>
      <c r="M3653" s="3"/>
      <c r="N3653" s="3"/>
    </row>
    <row r="3654" spans="1:14" ht="16.5" customHeight="1">
      <c r="A3654" s="3"/>
      <c r="B3654" s="3"/>
      <c r="C3654" s="3"/>
      <c r="D3654" s="3"/>
      <c r="E3654" s="3"/>
      <c r="F3654" s="3"/>
      <c r="G3654" s="3"/>
      <c r="H3654" s="3"/>
      <c r="I3654" s="3"/>
      <c r="J3654" s="3"/>
      <c r="K3654" s="3"/>
      <c r="L3654" s="3"/>
      <c r="M3654" s="3"/>
      <c r="N3654" s="3"/>
    </row>
    <row r="3655" spans="1:14" ht="16.5" customHeight="1">
      <c r="A3655" s="3"/>
      <c r="B3655" s="3"/>
      <c r="C3655" s="3"/>
      <c r="D3655" s="3"/>
      <c r="E3655" s="3"/>
      <c r="F3655" s="3"/>
      <c r="G3655" s="3"/>
      <c r="H3655" s="3"/>
      <c r="I3655" s="3"/>
      <c r="J3655" s="3"/>
      <c r="K3655" s="3"/>
      <c r="L3655" s="3"/>
      <c r="M3655" s="3"/>
      <c r="N3655" s="3"/>
    </row>
    <row r="3656" spans="1:14" ht="16.5" customHeight="1">
      <c r="A3656" s="3"/>
      <c r="B3656" s="3"/>
      <c r="C3656" s="3"/>
      <c r="D3656" s="3"/>
      <c r="E3656" s="3"/>
      <c r="F3656" s="3"/>
      <c r="G3656" s="3"/>
      <c r="H3656" s="3"/>
      <c r="I3656" s="3"/>
      <c r="J3656" s="3"/>
      <c r="K3656" s="3"/>
      <c r="L3656" s="3"/>
      <c r="M3656" s="3"/>
      <c r="N3656" s="3"/>
    </row>
    <row r="3657" spans="1:14" ht="16.5" customHeight="1">
      <c r="A3657" s="3"/>
      <c r="B3657" s="3"/>
      <c r="C3657" s="3"/>
      <c r="D3657" s="3"/>
      <c r="E3657" s="3"/>
      <c r="F3657" s="3"/>
      <c r="G3657" s="3"/>
      <c r="H3657" s="3"/>
      <c r="I3657" s="3"/>
      <c r="J3657" s="3"/>
      <c r="K3657" s="3"/>
      <c r="L3657" s="3"/>
      <c r="M3657" s="3"/>
      <c r="N3657" s="3"/>
    </row>
    <row r="3658" spans="1:14" ht="16.5" customHeight="1">
      <c r="A3658" s="3"/>
      <c r="B3658" s="3"/>
      <c r="C3658" s="3"/>
      <c r="D3658" s="3"/>
      <c r="E3658" s="3"/>
      <c r="F3658" s="3"/>
      <c r="G3658" s="3"/>
      <c r="H3658" s="3"/>
      <c r="I3658" s="3"/>
      <c r="J3658" s="3"/>
      <c r="K3658" s="3"/>
      <c r="L3658" s="3"/>
      <c r="M3658" s="3"/>
      <c r="N3658" s="3"/>
    </row>
    <row r="3659" spans="1:14" ht="16.5" customHeight="1">
      <c r="A3659" s="3"/>
      <c r="B3659" s="3"/>
      <c r="C3659" s="3"/>
      <c r="D3659" s="3"/>
      <c r="E3659" s="3"/>
      <c r="F3659" s="3"/>
      <c r="G3659" s="3"/>
      <c r="H3659" s="3"/>
      <c r="I3659" s="3"/>
      <c r="J3659" s="3"/>
      <c r="K3659" s="3"/>
      <c r="L3659" s="3"/>
      <c r="M3659" s="3"/>
      <c r="N3659" s="3"/>
    </row>
    <row r="3660" spans="1:14" ht="16.5" customHeight="1">
      <c r="A3660" s="3"/>
      <c r="B3660" s="3"/>
      <c r="C3660" s="3"/>
      <c r="D3660" s="3"/>
      <c r="E3660" s="3"/>
      <c r="F3660" s="3"/>
      <c r="G3660" s="3"/>
      <c r="H3660" s="3"/>
      <c r="I3660" s="3"/>
      <c r="J3660" s="3"/>
      <c r="K3660" s="3"/>
      <c r="L3660" s="3"/>
      <c r="M3660" s="3"/>
      <c r="N3660" s="3"/>
    </row>
    <row r="3661" spans="1:14" ht="16.5" customHeight="1">
      <c r="A3661" s="3"/>
      <c r="B3661" s="3"/>
      <c r="C3661" s="3"/>
      <c r="D3661" s="3"/>
      <c r="E3661" s="3"/>
      <c r="F3661" s="3"/>
      <c r="G3661" s="3"/>
      <c r="H3661" s="3"/>
      <c r="I3661" s="3"/>
      <c r="J3661" s="3"/>
      <c r="K3661" s="3"/>
      <c r="L3661" s="3"/>
      <c r="M3661" s="3"/>
      <c r="N3661" s="3"/>
    </row>
    <row r="3662" spans="1:14" ht="16.5" customHeight="1">
      <c r="A3662" s="3"/>
      <c r="B3662" s="3"/>
      <c r="C3662" s="3"/>
      <c r="D3662" s="3"/>
      <c r="E3662" s="3"/>
      <c r="F3662" s="3"/>
      <c r="G3662" s="3"/>
      <c r="H3662" s="3"/>
      <c r="I3662" s="3"/>
      <c r="J3662" s="3"/>
      <c r="K3662" s="3"/>
      <c r="L3662" s="3"/>
      <c r="M3662" s="3"/>
      <c r="N3662" s="3"/>
    </row>
    <row r="3663" spans="1:14" ht="16.5" customHeight="1">
      <c r="A3663" s="3"/>
      <c r="B3663" s="3"/>
      <c r="C3663" s="3"/>
      <c r="D3663" s="3"/>
      <c r="E3663" s="3"/>
      <c r="F3663" s="3"/>
      <c r="G3663" s="3"/>
      <c r="H3663" s="3"/>
      <c r="I3663" s="3"/>
      <c r="J3663" s="3"/>
      <c r="K3663" s="3"/>
      <c r="L3663" s="3"/>
      <c r="M3663" s="3"/>
      <c r="N3663" s="3"/>
    </row>
    <row r="3664" spans="1:14" ht="16.5" customHeight="1">
      <c r="A3664" s="3"/>
      <c r="B3664" s="3"/>
      <c r="C3664" s="3"/>
      <c r="D3664" s="3"/>
      <c r="E3664" s="3"/>
      <c r="F3664" s="3"/>
      <c r="G3664" s="3"/>
      <c r="H3664" s="3"/>
      <c r="I3664" s="3"/>
      <c r="J3664" s="3"/>
      <c r="K3664" s="3"/>
      <c r="L3664" s="3"/>
      <c r="M3664" s="3"/>
      <c r="N3664" s="3"/>
    </row>
    <row r="3665" spans="1:14" ht="16.5" customHeight="1">
      <c r="A3665" s="3"/>
      <c r="B3665" s="3"/>
      <c r="C3665" s="3"/>
      <c r="D3665" s="3"/>
      <c r="E3665" s="3"/>
      <c r="F3665" s="3"/>
      <c r="G3665" s="3"/>
      <c r="H3665" s="3"/>
      <c r="I3665" s="3"/>
      <c r="J3665" s="3"/>
      <c r="K3665" s="3"/>
      <c r="L3665" s="3"/>
      <c r="M3665" s="3"/>
      <c r="N3665" s="3"/>
    </row>
    <row r="3666" spans="1:14" ht="16.5" customHeight="1">
      <c r="A3666" s="3"/>
      <c r="B3666" s="3"/>
      <c r="C3666" s="3"/>
      <c r="D3666" s="3"/>
      <c r="E3666" s="3"/>
      <c r="F3666" s="3"/>
      <c r="G3666" s="3"/>
      <c r="H3666" s="3"/>
      <c r="I3666" s="3"/>
      <c r="J3666" s="3"/>
      <c r="K3666" s="3"/>
      <c r="L3666" s="3"/>
      <c r="M3666" s="3"/>
      <c r="N3666" s="3"/>
    </row>
    <row r="3667" spans="1:14" ht="16.5" customHeight="1">
      <c r="A3667" s="3"/>
      <c r="B3667" s="3"/>
      <c r="C3667" s="3"/>
      <c r="D3667" s="3"/>
      <c r="E3667" s="3"/>
      <c r="F3667" s="3"/>
      <c r="G3667" s="3"/>
      <c r="H3667" s="3"/>
      <c r="I3667" s="3"/>
      <c r="J3667" s="3"/>
      <c r="K3667" s="3"/>
      <c r="L3667" s="3"/>
      <c r="M3667" s="3"/>
      <c r="N3667" s="3"/>
    </row>
    <row r="3668" spans="1:14" ht="16.5" customHeight="1">
      <c r="A3668" s="3"/>
      <c r="B3668" s="3"/>
      <c r="C3668" s="3"/>
      <c r="D3668" s="3"/>
      <c r="E3668" s="3"/>
      <c r="F3668" s="3"/>
      <c r="G3668" s="3"/>
      <c r="H3668" s="3"/>
      <c r="I3668" s="3"/>
      <c r="J3668" s="3"/>
      <c r="K3668" s="3"/>
      <c r="L3668" s="3"/>
      <c r="M3668" s="3"/>
      <c r="N3668" s="3"/>
    </row>
    <row r="3669" spans="1:14" ht="16.5" customHeight="1">
      <c r="A3669" s="3"/>
      <c r="B3669" s="3"/>
      <c r="C3669" s="3"/>
      <c r="D3669" s="3"/>
      <c r="E3669" s="3"/>
      <c r="F3669" s="3"/>
      <c r="G3669" s="3"/>
      <c r="H3669" s="3"/>
      <c r="I3669" s="3"/>
      <c r="J3669" s="3"/>
      <c r="K3669" s="3"/>
      <c r="L3669" s="3"/>
      <c r="M3669" s="3"/>
      <c r="N3669" s="3"/>
    </row>
    <row r="3670" spans="1:14" ht="16.5" customHeight="1">
      <c r="A3670" s="3"/>
      <c r="B3670" s="3"/>
      <c r="C3670" s="3"/>
      <c r="D3670" s="3"/>
      <c r="E3670" s="3"/>
      <c r="F3670" s="3"/>
      <c r="G3670" s="3"/>
      <c r="H3670" s="3"/>
      <c r="I3670" s="3"/>
      <c r="J3670" s="3"/>
      <c r="K3670" s="3"/>
      <c r="L3670" s="3"/>
      <c r="M3670" s="3"/>
      <c r="N3670" s="3"/>
    </row>
    <row r="3671" spans="1:14" ht="16.5" customHeight="1">
      <c r="A3671" s="3"/>
      <c r="B3671" s="3"/>
      <c r="C3671" s="3"/>
      <c r="D3671" s="3"/>
      <c r="E3671" s="3"/>
      <c r="F3671" s="3"/>
      <c r="G3671" s="3"/>
      <c r="H3671" s="3"/>
      <c r="I3671" s="3"/>
      <c r="J3671" s="3"/>
      <c r="K3671" s="3"/>
      <c r="L3671" s="3"/>
      <c r="M3671" s="3"/>
      <c r="N3671" s="3"/>
    </row>
    <row r="3672" spans="1:14" ht="16.5" customHeight="1">
      <c r="A3672" s="3"/>
      <c r="B3672" s="3"/>
      <c r="C3672" s="3"/>
      <c r="D3672" s="3"/>
      <c r="E3672" s="3"/>
      <c r="F3672" s="3"/>
      <c r="G3672" s="3"/>
      <c r="H3672" s="3"/>
      <c r="I3672" s="3"/>
      <c r="J3672" s="3"/>
      <c r="K3672" s="3"/>
      <c r="L3672" s="3"/>
      <c r="M3672" s="3"/>
      <c r="N3672" s="3"/>
    </row>
    <row r="3673" spans="1:14" ht="16.5" customHeight="1">
      <c r="A3673" s="3"/>
      <c r="B3673" s="3"/>
      <c r="C3673" s="3"/>
      <c r="D3673" s="3"/>
      <c r="E3673" s="3"/>
      <c r="F3673" s="3"/>
      <c r="G3673" s="3"/>
      <c r="H3673" s="3"/>
      <c r="I3673" s="3"/>
      <c r="J3673" s="3"/>
      <c r="K3673" s="3"/>
      <c r="L3673" s="3"/>
      <c r="M3673" s="3"/>
      <c r="N3673" s="3"/>
    </row>
    <row r="3674" spans="1:14" ht="16.5" customHeight="1">
      <c r="A3674" s="3"/>
      <c r="B3674" s="3"/>
      <c r="C3674" s="3"/>
      <c r="D3674" s="3"/>
      <c r="E3674" s="3"/>
      <c r="F3674" s="3"/>
      <c r="G3674" s="3"/>
      <c r="H3674" s="3"/>
      <c r="I3674" s="3"/>
      <c r="J3674" s="3"/>
      <c r="K3674" s="3"/>
      <c r="L3674" s="3"/>
      <c r="M3674" s="3"/>
      <c r="N3674" s="3"/>
    </row>
    <row r="3675" spans="1:14" ht="16.5" customHeight="1">
      <c r="A3675" s="3"/>
      <c r="B3675" s="3"/>
      <c r="C3675" s="3"/>
      <c r="D3675" s="3"/>
      <c r="E3675" s="3"/>
      <c r="F3675" s="3"/>
      <c r="G3675" s="3"/>
      <c r="H3675" s="3"/>
      <c r="I3675" s="3"/>
      <c r="J3675" s="3"/>
      <c r="K3675" s="3"/>
      <c r="L3675" s="3"/>
      <c r="M3675" s="3"/>
      <c r="N3675" s="3"/>
    </row>
    <row r="3676" spans="1:14" ht="16.5" customHeight="1">
      <c r="A3676" s="3"/>
      <c r="B3676" s="3"/>
      <c r="C3676" s="3"/>
      <c r="D3676" s="3"/>
      <c r="E3676" s="3"/>
      <c r="F3676" s="3"/>
      <c r="G3676" s="3"/>
      <c r="H3676" s="3"/>
      <c r="I3676" s="3"/>
      <c r="J3676" s="3"/>
      <c r="K3676" s="3"/>
      <c r="L3676" s="3"/>
      <c r="M3676" s="3"/>
      <c r="N3676" s="3"/>
    </row>
    <row r="3677" spans="1:14" ht="16.5" customHeight="1">
      <c r="A3677" s="3"/>
      <c r="B3677" s="3"/>
      <c r="C3677" s="3"/>
      <c r="D3677" s="3"/>
      <c r="E3677" s="3"/>
      <c r="F3677" s="3"/>
      <c r="G3677" s="3"/>
      <c r="H3677" s="3"/>
      <c r="I3677" s="3"/>
      <c r="J3677" s="3"/>
      <c r="K3677" s="3"/>
      <c r="L3677" s="3"/>
      <c r="M3677" s="3"/>
      <c r="N3677" s="3"/>
    </row>
    <row r="3678" spans="1:14" ht="16.5" customHeight="1">
      <c r="A3678" s="3"/>
      <c r="B3678" s="3"/>
      <c r="C3678" s="3"/>
      <c r="D3678" s="3"/>
      <c r="E3678" s="3"/>
      <c r="F3678" s="3"/>
      <c r="G3678" s="3"/>
      <c r="H3678" s="3"/>
      <c r="I3678" s="3"/>
      <c r="J3678" s="3"/>
      <c r="K3678" s="3"/>
      <c r="L3678" s="3"/>
      <c r="M3678" s="3"/>
      <c r="N3678" s="3"/>
    </row>
    <row r="3679" spans="1:14" ht="16.5" customHeight="1">
      <c r="A3679" s="3"/>
      <c r="B3679" s="3"/>
      <c r="C3679" s="3"/>
      <c r="D3679" s="3"/>
      <c r="E3679" s="3"/>
      <c r="F3679" s="3"/>
      <c r="G3679" s="3"/>
      <c r="H3679" s="3"/>
      <c r="I3679" s="3"/>
      <c r="J3679" s="3"/>
      <c r="K3679" s="3"/>
      <c r="L3679" s="3"/>
      <c r="M3679" s="3"/>
      <c r="N3679" s="3"/>
    </row>
    <row r="3680" spans="1:14" ht="16.5" customHeight="1">
      <c r="A3680" s="3"/>
      <c r="B3680" s="3"/>
      <c r="C3680" s="3"/>
      <c r="D3680" s="3"/>
      <c r="E3680" s="3"/>
      <c r="F3680" s="3"/>
      <c r="G3680" s="3"/>
      <c r="H3680" s="3"/>
      <c r="I3680" s="3"/>
      <c r="J3680" s="3"/>
      <c r="K3680" s="3"/>
      <c r="L3680" s="3"/>
      <c r="M3680" s="3"/>
      <c r="N3680" s="3"/>
    </row>
    <row r="3681" spans="1:14" ht="16.5" customHeight="1">
      <c r="A3681" s="3"/>
      <c r="B3681" s="3"/>
      <c r="C3681" s="3"/>
      <c r="D3681" s="3"/>
      <c r="E3681" s="3"/>
      <c r="F3681" s="3"/>
      <c r="G3681" s="3"/>
      <c r="H3681" s="3"/>
      <c r="I3681" s="3"/>
      <c r="J3681" s="3"/>
      <c r="K3681" s="3"/>
      <c r="L3681" s="3"/>
      <c r="M3681" s="3"/>
      <c r="N3681" s="3"/>
    </row>
    <row r="3682" spans="1:14" ht="16.5" customHeight="1">
      <c r="A3682" s="3"/>
      <c r="B3682" s="3"/>
      <c r="C3682" s="3"/>
      <c r="D3682" s="3"/>
      <c r="E3682" s="3"/>
      <c r="F3682" s="3"/>
      <c r="G3682" s="3"/>
      <c r="H3682" s="3"/>
      <c r="I3682" s="3"/>
      <c r="J3682" s="3"/>
      <c r="K3682" s="3"/>
      <c r="L3682" s="3"/>
      <c r="M3682" s="3"/>
      <c r="N3682" s="3"/>
    </row>
    <row r="3683" spans="1:14" ht="16.5" customHeight="1">
      <c r="A3683" s="3"/>
      <c r="B3683" s="3"/>
      <c r="C3683" s="3"/>
      <c r="D3683" s="3"/>
      <c r="E3683" s="3"/>
      <c r="F3683" s="3"/>
      <c r="G3683" s="3"/>
      <c r="H3683" s="3"/>
      <c r="I3683" s="3"/>
      <c r="J3683" s="3"/>
      <c r="K3683" s="3"/>
      <c r="L3683" s="3"/>
      <c r="M3683" s="3"/>
      <c r="N3683" s="3"/>
    </row>
    <row r="3684" spans="1:14" ht="16.5" customHeight="1">
      <c r="A3684" s="3"/>
      <c r="B3684" s="3"/>
      <c r="C3684" s="3"/>
      <c r="D3684" s="3"/>
      <c r="E3684" s="3"/>
      <c r="F3684" s="3"/>
      <c r="G3684" s="3"/>
      <c r="H3684" s="3"/>
      <c r="I3684" s="3"/>
      <c r="J3684" s="3"/>
      <c r="K3684" s="3"/>
      <c r="L3684" s="3"/>
      <c r="M3684" s="3"/>
      <c r="N3684" s="3"/>
    </row>
    <row r="3685" spans="1:14" ht="16.5" customHeight="1">
      <c r="A3685" s="3"/>
      <c r="B3685" s="3"/>
      <c r="C3685" s="3"/>
      <c r="D3685" s="3"/>
      <c r="E3685" s="3"/>
      <c r="F3685" s="3"/>
      <c r="G3685" s="3"/>
      <c r="H3685" s="3"/>
      <c r="I3685" s="3"/>
      <c r="J3685" s="3"/>
      <c r="K3685" s="3"/>
      <c r="L3685" s="3"/>
      <c r="M3685" s="3"/>
      <c r="N3685" s="3"/>
    </row>
    <row r="3686" spans="1:14" ht="16.5" customHeight="1">
      <c r="A3686" s="3"/>
      <c r="B3686" s="3"/>
      <c r="C3686" s="3"/>
      <c r="D3686" s="3"/>
      <c r="E3686" s="3"/>
      <c r="F3686" s="3"/>
      <c r="G3686" s="3"/>
      <c r="H3686" s="3"/>
      <c r="I3686" s="3"/>
      <c r="J3686" s="3"/>
      <c r="K3686" s="3"/>
      <c r="L3686" s="3"/>
      <c r="M3686" s="3"/>
      <c r="N3686" s="3"/>
    </row>
    <row r="3687" spans="1:14" ht="16.5" customHeight="1">
      <c r="A3687" s="3"/>
      <c r="B3687" s="3"/>
      <c r="C3687" s="3"/>
      <c r="D3687" s="3"/>
      <c r="E3687" s="3"/>
      <c r="F3687" s="3"/>
      <c r="G3687" s="3"/>
      <c r="H3687" s="3"/>
      <c r="I3687" s="3"/>
      <c r="J3687" s="3"/>
      <c r="K3687" s="3"/>
      <c r="L3687" s="3"/>
      <c r="M3687" s="3"/>
      <c r="N3687" s="3"/>
    </row>
    <row r="3688" spans="1:14" ht="16.5" customHeight="1">
      <c r="A3688" s="3"/>
      <c r="B3688" s="3"/>
      <c r="C3688" s="3"/>
      <c r="D3688" s="3"/>
      <c r="E3688" s="3"/>
      <c r="F3688" s="3"/>
      <c r="G3688" s="3"/>
      <c r="H3688" s="3"/>
      <c r="I3688" s="3"/>
      <c r="J3688" s="3"/>
      <c r="K3688" s="3"/>
      <c r="L3688" s="3"/>
      <c r="M3688" s="3"/>
      <c r="N3688" s="3"/>
    </row>
    <row r="3689" spans="1:14" ht="16.5" customHeight="1">
      <c r="A3689" s="3"/>
      <c r="B3689" s="3"/>
      <c r="C3689" s="3"/>
      <c r="D3689" s="3"/>
      <c r="E3689" s="3"/>
      <c r="F3689" s="3"/>
      <c r="G3689" s="3"/>
      <c r="H3689" s="3"/>
      <c r="I3689" s="3"/>
      <c r="J3689" s="3"/>
      <c r="K3689" s="3"/>
      <c r="L3689" s="3"/>
      <c r="M3689" s="3"/>
      <c r="N3689" s="3"/>
    </row>
    <row r="3690" spans="1:14" ht="16.5" customHeight="1">
      <c r="A3690" s="3"/>
      <c r="B3690" s="3"/>
      <c r="C3690" s="3"/>
      <c r="D3690" s="3"/>
      <c r="E3690" s="3"/>
      <c r="F3690" s="3"/>
      <c r="G3690" s="3"/>
      <c r="H3690" s="3"/>
      <c r="I3690" s="3"/>
      <c r="J3690" s="3"/>
      <c r="K3690" s="3"/>
      <c r="L3690" s="3"/>
      <c r="M3690" s="3"/>
      <c r="N3690" s="3"/>
    </row>
    <row r="3691" spans="1:14" ht="16.5" customHeight="1">
      <c r="A3691" s="3"/>
      <c r="B3691" s="3"/>
      <c r="C3691" s="3"/>
      <c r="D3691" s="3"/>
      <c r="E3691" s="3"/>
      <c r="F3691" s="3"/>
      <c r="G3691" s="3"/>
      <c r="H3691" s="3"/>
      <c r="I3691" s="3"/>
      <c r="J3691" s="3"/>
      <c r="K3691" s="3"/>
      <c r="L3691" s="3"/>
      <c r="M3691" s="3"/>
      <c r="N3691" s="3"/>
    </row>
    <row r="3692" spans="1:14" ht="16.5" customHeight="1">
      <c r="A3692" s="3"/>
      <c r="B3692" s="3"/>
      <c r="C3692" s="3"/>
      <c r="D3692" s="3"/>
      <c r="E3692" s="3"/>
      <c r="F3692" s="3"/>
      <c r="G3692" s="3"/>
      <c r="H3692" s="3"/>
      <c r="I3692" s="3"/>
      <c r="J3692" s="3"/>
      <c r="K3692" s="3"/>
      <c r="L3692" s="3"/>
      <c r="M3692" s="3"/>
      <c r="N3692" s="3"/>
    </row>
    <row r="3693" spans="1:14" ht="16.5" customHeight="1">
      <c r="A3693" s="3"/>
      <c r="B3693" s="3"/>
      <c r="C3693" s="3"/>
      <c r="D3693" s="3"/>
      <c r="E3693" s="3"/>
      <c r="F3693" s="3"/>
      <c r="G3693" s="3"/>
      <c r="H3693" s="3"/>
      <c r="I3693" s="3"/>
      <c r="J3693" s="3"/>
      <c r="K3693" s="3"/>
      <c r="L3693" s="3"/>
      <c r="M3693" s="3"/>
      <c r="N3693" s="3"/>
    </row>
    <row r="3694" spans="1:14" ht="16.5" customHeight="1">
      <c r="A3694" s="3"/>
      <c r="B3694" s="3"/>
      <c r="C3694" s="3"/>
      <c r="D3694" s="3"/>
      <c r="E3694" s="3"/>
      <c r="F3694" s="3"/>
      <c r="G3694" s="3"/>
      <c r="H3694" s="3"/>
      <c r="I3694" s="3"/>
      <c r="J3694" s="3"/>
      <c r="K3694" s="3"/>
      <c r="L3694" s="3"/>
      <c r="M3694" s="3"/>
      <c r="N3694" s="3"/>
    </row>
    <row r="3695" spans="1:14" ht="16.5" customHeight="1">
      <c r="A3695" s="3"/>
      <c r="B3695" s="3"/>
      <c r="C3695" s="3"/>
      <c r="D3695" s="3"/>
      <c r="E3695" s="3"/>
      <c r="F3695" s="3"/>
      <c r="G3695" s="3"/>
      <c r="H3695" s="3"/>
      <c r="I3695" s="3"/>
      <c r="J3695" s="3"/>
      <c r="K3695" s="3"/>
      <c r="L3695" s="3"/>
      <c r="M3695" s="3"/>
      <c r="N3695" s="3"/>
    </row>
    <row r="3696" spans="1:14" ht="16.5" customHeight="1">
      <c r="A3696" s="3"/>
      <c r="B3696" s="3"/>
      <c r="C3696" s="3"/>
      <c r="D3696" s="3"/>
      <c r="E3696" s="3"/>
      <c r="F3696" s="3"/>
      <c r="G3696" s="3"/>
      <c r="H3696" s="3"/>
      <c r="I3696" s="3"/>
      <c r="J3696" s="3"/>
      <c r="K3696" s="3"/>
      <c r="L3696" s="3"/>
      <c r="M3696" s="3"/>
      <c r="N3696" s="3"/>
    </row>
    <row r="3697" spans="1:14" ht="16.5" customHeight="1">
      <c r="A3697" s="3"/>
      <c r="B3697" s="3"/>
      <c r="C3697" s="3"/>
      <c r="D3697" s="3"/>
      <c r="E3697" s="3"/>
      <c r="F3697" s="3"/>
      <c r="G3697" s="3"/>
      <c r="H3697" s="3"/>
      <c r="I3697" s="3"/>
      <c r="J3697" s="3"/>
      <c r="K3697" s="3"/>
      <c r="L3697" s="3"/>
      <c r="M3697" s="3"/>
      <c r="N3697" s="3"/>
    </row>
    <row r="3698" spans="1:14" ht="16.5" customHeight="1">
      <c r="A3698" s="3"/>
      <c r="B3698" s="3"/>
      <c r="C3698" s="3"/>
      <c r="D3698" s="3"/>
      <c r="E3698" s="3"/>
      <c r="F3698" s="3"/>
      <c r="G3698" s="3"/>
      <c r="H3698" s="3"/>
      <c r="I3698" s="3"/>
      <c r="J3698" s="3"/>
      <c r="K3698" s="3"/>
      <c r="L3698" s="3"/>
      <c r="M3698" s="3"/>
      <c r="N3698" s="3"/>
    </row>
    <row r="3699" spans="1:14" ht="16.5" customHeight="1">
      <c r="A3699" s="3"/>
      <c r="B3699" s="3"/>
      <c r="C3699" s="3"/>
      <c r="D3699" s="3"/>
      <c r="E3699" s="3"/>
      <c r="F3699" s="3"/>
      <c r="G3699" s="3"/>
      <c r="H3699" s="3"/>
      <c r="I3699" s="3"/>
      <c r="J3699" s="3"/>
      <c r="K3699" s="3"/>
      <c r="L3699" s="3"/>
      <c r="M3699" s="3"/>
      <c r="N3699" s="3"/>
    </row>
    <row r="3700" spans="1:14" ht="16.5" customHeight="1">
      <c r="A3700" s="3"/>
      <c r="B3700" s="3"/>
      <c r="C3700" s="3"/>
      <c r="D3700" s="3"/>
      <c r="E3700" s="3"/>
      <c r="F3700" s="3"/>
      <c r="G3700" s="3"/>
      <c r="H3700" s="3"/>
      <c r="I3700" s="3"/>
      <c r="J3700" s="3"/>
      <c r="K3700" s="3"/>
      <c r="L3700" s="3"/>
      <c r="M3700" s="3"/>
      <c r="N3700" s="3"/>
    </row>
    <row r="3701" spans="1:14" ht="16.5" customHeight="1">
      <c r="A3701" s="3"/>
      <c r="B3701" s="3"/>
      <c r="C3701" s="3"/>
      <c r="D3701" s="3"/>
      <c r="E3701" s="3"/>
      <c r="F3701" s="3"/>
      <c r="G3701" s="3"/>
      <c r="H3701" s="3"/>
      <c r="I3701" s="3"/>
      <c r="J3701" s="3"/>
      <c r="K3701" s="3"/>
      <c r="L3701" s="3"/>
      <c r="M3701" s="3"/>
      <c r="N3701" s="3"/>
    </row>
    <row r="3702" spans="1:14" ht="16.5" customHeight="1">
      <c r="A3702" s="3"/>
      <c r="B3702" s="3"/>
      <c r="C3702" s="3"/>
      <c r="D3702" s="3"/>
      <c r="E3702" s="3"/>
      <c r="F3702" s="3"/>
      <c r="G3702" s="3"/>
      <c r="H3702" s="3"/>
      <c r="I3702" s="3"/>
      <c r="J3702" s="3"/>
      <c r="K3702" s="3"/>
      <c r="L3702" s="3"/>
      <c r="M3702" s="3"/>
      <c r="N3702" s="3"/>
    </row>
    <row r="3703" spans="1:14" ht="16.5" customHeight="1">
      <c r="A3703" s="3"/>
      <c r="B3703" s="3"/>
      <c r="C3703" s="3"/>
      <c r="D3703" s="3"/>
      <c r="E3703" s="3"/>
      <c r="F3703" s="3"/>
      <c r="G3703" s="3"/>
      <c r="H3703" s="3"/>
      <c r="I3703" s="3"/>
      <c r="J3703" s="3"/>
      <c r="K3703" s="3"/>
      <c r="L3703" s="3"/>
      <c r="M3703" s="3"/>
      <c r="N3703" s="3"/>
    </row>
    <row r="3704" spans="1:14" ht="16.5" customHeight="1">
      <c r="A3704" s="3"/>
      <c r="B3704" s="3"/>
      <c r="C3704" s="3"/>
      <c r="D3704" s="3"/>
      <c r="E3704" s="3"/>
      <c r="F3704" s="3"/>
      <c r="G3704" s="3"/>
      <c r="H3704" s="3"/>
      <c r="I3704" s="3"/>
      <c r="J3704" s="3"/>
      <c r="K3704" s="3"/>
      <c r="L3704" s="3"/>
      <c r="M3704" s="3"/>
      <c r="N3704" s="3"/>
    </row>
    <row r="3705" spans="1:14" ht="16.5" customHeight="1">
      <c r="A3705" s="3"/>
      <c r="B3705" s="3"/>
      <c r="C3705" s="3"/>
      <c r="D3705" s="3"/>
      <c r="E3705" s="3"/>
      <c r="F3705" s="3"/>
      <c r="G3705" s="3"/>
      <c r="H3705" s="3"/>
      <c r="I3705" s="3"/>
      <c r="J3705" s="3"/>
      <c r="K3705" s="3"/>
      <c r="L3705" s="3"/>
      <c r="M3705" s="3"/>
      <c r="N3705" s="3"/>
    </row>
    <row r="3706" spans="1:14" ht="16.5" customHeight="1">
      <c r="A3706" s="3"/>
      <c r="B3706" s="3"/>
      <c r="C3706" s="3"/>
      <c r="D3706" s="3"/>
      <c r="E3706" s="3"/>
      <c r="F3706" s="3"/>
      <c r="G3706" s="3"/>
      <c r="H3706" s="3"/>
      <c r="I3706" s="3"/>
      <c r="J3706" s="3"/>
      <c r="K3706" s="3"/>
      <c r="L3706" s="3"/>
      <c r="M3706" s="3"/>
      <c r="N3706" s="3"/>
    </row>
    <row r="3707" spans="1:14" ht="16.5" customHeight="1">
      <c r="A3707" s="3"/>
      <c r="B3707" s="3"/>
      <c r="C3707" s="3"/>
      <c r="D3707" s="3"/>
      <c r="E3707" s="3"/>
      <c r="F3707" s="3"/>
      <c r="G3707" s="3"/>
      <c r="H3707" s="3"/>
      <c r="I3707" s="3"/>
      <c r="J3707" s="3"/>
      <c r="K3707" s="3"/>
      <c r="L3707" s="3"/>
      <c r="M3707" s="3"/>
      <c r="N3707" s="3"/>
    </row>
    <row r="3708" spans="1:14" ht="16.5" customHeight="1">
      <c r="A3708" s="3"/>
      <c r="B3708" s="3"/>
      <c r="C3708" s="3"/>
      <c r="D3708" s="3"/>
      <c r="E3708" s="3"/>
      <c r="F3708" s="3"/>
      <c r="G3708" s="3"/>
      <c r="H3708" s="3"/>
      <c r="I3708" s="3"/>
      <c r="J3708" s="3"/>
      <c r="K3708" s="3"/>
      <c r="L3708" s="3"/>
      <c r="M3708" s="3"/>
      <c r="N3708" s="3"/>
    </row>
    <row r="3709" spans="1:14" ht="16.5" customHeight="1">
      <c r="A3709" s="3"/>
      <c r="B3709" s="3"/>
      <c r="C3709" s="3"/>
      <c r="D3709" s="3"/>
      <c r="E3709" s="3"/>
      <c r="F3709" s="3"/>
      <c r="G3709" s="3"/>
      <c r="H3709" s="3"/>
      <c r="I3709" s="3"/>
      <c r="J3709" s="3"/>
      <c r="K3709" s="3"/>
      <c r="L3709" s="3"/>
      <c r="M3709" s="3"/>
      <c r="N3709" s="3"/>
    </row>
    <row r="3710" spans="1:14" ht="16.5" customHeight="1">
      <c r="A3710" s="3"/>
      <c r="B3710" s="3"/>
      <c r="C3710" s="3"/>
      <c r="D3710" s="3"/>
      <c r="E3710" s="3"/>
      <c r="F3710" s="3"/>
      <c r="G3710" s="3"/>
      <c r="H3710" s="3"/>
      <c r="I3710" s="3"/>
      <c r="J3710" s="3"/>
      <c r="K3710" s="3"/>
      <c r="L3710" s="3"/>
      <c r="M3710" s="3"/>
      <c r="N3710" s="3"/>
    </row>
    <row r="3711" spans="1:14" ht="16.5" customHeight="1">
      <c r="A3711" s="3"/>
      <c r="B3711" s="3"/>
      <c r="C3711" s="3"/>
      <c r="D3711" s="3"/>
      <c r="E3711" s="3"/>
      <c r="F3711" s="3"/>
      <c r="G3711" s="3"/>
      <c r="H3711" s="3"/>
      <c r="I3711" s="3"/>
      <c r="J3711" s="3"/>
      <c r="K3711" s="3"/>
      <c r="L3711" s="3"/>
      <c r="M3711" s="3"/>
      <c r="N3711" s="3"/>
    </row>
    <row r="3712" spans="1:14" ht="16.5" customHeight="1">
      <c r="A3712" s="3"/>
      <c r="B3712" s="3"/>
      <c r="C3712" s="3"/>
      <c r="D3712" s="3"/>
      <c r="E3712" s="3"/>
      <c r="F3712" s="3"/>
      <c r="G3712" s="3"/>
      <c r="H3712" s="3"/>
      <c r="I3712" s="3"/>
      <c r="J3712" s="3"/>
      <c r="K3712" s="3"/>
      <c r="L3712" s="3"/>
      <c r="M3712" s="3"/>
      <c r="N3712" s="3"/>
    </row>
    <row r="3713" spans="1:14" ht="16.5" customHeight="1">
      <c r="A3713" s="3"/>
      <c r="B3713" s="3"/>
      <c r="C3713" s="3"/>
      <c r="D3713" s="3"/>
      <c r="E3713" s="3"/>
      <c r="F3713" s="3"/>
      <c r="G3713" s="3"/>
      <c r="H3713" s="3"/>
      <c r="I3713" s="3"/>
      <c r="J3713" s="3"/>
      <c r="K3713" s="3"/>
      <c r="L3713" s="3"/>
      <c r="M3713" s="3"/>
      <c r="N3713" s="3"/>
    </row>
    <row r="3714" spans="1:14" ht="16.5" customHeight="1">
      <c r="A3714" s="3"/>
      <c r="B3714" s="3"/>
      <c r="C3714" s="3"/>
      <c r="D3714" s="3"/>
      <c r="E3714" s="3"/>
      <c r="F3714" s="3"/>
      <c r="G3714" s="3"/>
      <c r="H3714" s="3"/>
      <c r="I3714" s="3"/>
      <c r="J3714" s="3"/>
      <c r="K3714" s="3"/>
      <c r="L3714" s="3"/>
      <c r="M3714" s="3"/>
      <c r="N3714" s="3"/>
    </row>
    <row r="3715" spans="1:14" ht="16.5" customHeight="1">
      <c r="A3715" s="3"/>
      <c r="B3715" s="3"/>
      <c r="C3715" s="3"/>
      <c r="D3715" s="3"/>
      <c r="E3715" s="3"/>
      <c r="F3715" s="3"/>
      <c r="G3715" s="3"/>
      <c r="H3715" s="3"/>
      <c r="I3715" s="3"/>
      <c r="J3715" s="3"/>
      <c r="K3715" s="3"/>
      <c r="L3715" s="3"/>
      <c r="M3715" s="3"/>
      <c r="N3715" s="3"/>
    </row>
    <row r="3716" spans="1:14" ht="16.5" customHeight="1">
      <c r="A3716" s="3"/>
      <c r="B3716" s="3"/>
      <c r="C3716" s="3"/>
      <c r="D3716" s="3"/>
      <c r="E3716" s="3"/>
      <c r="F3716" s="3"/>
      <c r="G3716" s="3"/>
      <c r="H3716" s="3"/>
      <c r="I3716" s="3"/>
      <c r="J3716" s="3"/>
      <c r="K3716" s="3"/>
      <c r="L3716" s="3"/>
      <c r="M3716" s="3"/>
      <c r="N3716" s="3"/>
    </row>
    <row r="3717" spans="1:14" ht="16.5" customHeight="1">
      <c r="A3717" s="3"/>
      <c r="B3717" s="3"/>
      <c r="C3717" s="3"/>
      <c r="D3717" s="3"/>
      <c r="E3717" s="3"/>
      <c r="F3717" s="3"/>
      <c r="G3717" s="3"/>
      <c r="H3717" s="3"/>
      <c r="I3717" s="3"/>
      <c r="J3717" s="3"/>
      <c r="K3717" s="3"/>
      <c r="L3717" s="3"/>
      <c r="M3717" s="3"/>
      <c r="N3717" s="3"/>
    </row>
    <row r="3718" spans="1:14" ht="16.5" customHeight="1">
      <c r="A3718" s="3"/>
      <c r="B3718" s="3"/>
      <c r="C3718" s="3"/>
      <c r="D3718" s="3"/>
      <c r="E3718" s="3"/>
      <c r="F3718" s="3"/>
      <c r="G3718" s="3"/>
      <c r="H3718" s="3"/>
      <c r="I3718" s="3"/>
      <c r="J3718" s="3"/>
      <c r="K3718" s="3"/>
      <c r="L3718" s="3"/>
      <c r="M3718" s="3"/>
      <c r="N3718" s="3"/>
    </row>
    <row r="3719" spans="1:14" ht="16.5" customHeight="1">
      <c r="A3719" s="3"/>
      <c r="B3719" s="3"/>
      <c r="C3719" s="3"/>
      <c r="D3719" s="3"/>
      <c r="E3719" s="3"/>
      <c r="F3719" s="3"/>
      <c r="G3719" s="3"/>
      <c r="H3719" s="3"/>
      <c r="I3719" s="3"/>
      <c r="J3719" s="3"/>
      <c r="K3719" s="3"/>
      <c r="L3719" s="3"/>
      <c r="M3719" s="3"/>
      <c r="N3719" s="3"/>
    </row>
    <row r="3720" spans="1:14" ht="16.5" customHeight="1">
      <c r="A3720" s="3"/>
      <c r="B3720" s="3"/>
      <c r="C3720" s="3"/>
      <c r="D3720" s="3"/>
      <c r="E3720" s="3"/>
      <c r="F3720" s="3"/>
      <c r="G3720" s="3"/>
      <c r="H3720" s="3"/>
      <c r="I3720" s="3"/>
      <c r="J3720" s="3"/>
      <c r="K3720" s="3"/>
      <c r="L3720" s="3"/>
      <c r="M3720" s="3"/>
      <c r="N3720" s="3"/>
    </row>
    <row r="3721" spans="1:14" ht="16.5" customHeight="1">
      <c r="A3721" s="3"/>
      <c r="B3721" s="3"/>
      <c r="C3721" s="3"/>
      <c r="D3721" s="3"/>
      <c r="E3721" s="3"/>
      <c r="F3721" s="3"/>
      <c r="G3721" s="3"/>
      <c r="H3721" s="3"/>
      <c r="I3721" s="3"/>
      <c r="J3721" s="3"/>
      <c r="K3721" s="3"/>
      <c r="L3721" s="3"/>
      <c r="M3721" s="3"/>
      <c r="N3721" s="3"/>
    </row>
    <row r="3722" spans="1:14" ht="16.5" customHeight="1">
      <c r="A3722" s="3"/>
      <c r="B3722" s="3"/>
      <c r="C3722" s="3"/>
      <c r="D3722" s="3"/>
      <c r="E3722" s="3"/>
      <c r="F3722" s="3"/>
      <c r="G3722" s="3"/>
      <c r="H3722" s="3"/>
      <c r="I3722" s="3"/>
      <c r="J3722" s="3"/>
      <c r="K3722" s="3"/>
      <c r="L3722" s="3"/>
      <c r="M3722" s="3"/>
      <c r="N3722" s="3"/>
    </row>
    <row r="3723" spans="1:14" ht="16.5" customHeight="1">
      <c r="A3723" s="3"/>
      <c r="B3723" s="3"/>
      <c r="C3723" s="3"/>
      <c r="D3723" s="3"/>
      <c r="E3723" s="3"/>
      <c r="F3723" s="3"/>
      <c r="G3723" s="3"/>
      <c r="H3723" s="3"/>
      <c r="I3723" s="3"/>
      <c r="J3723" s="3"/>
      <c r="K3723" s="3"/>
      <c r="L3723" s="3"/>
      <c r="M3723" s="3"/>
      <c r="N3723" s="3"/>
    </row>
    <row r="3724" spans="1:14" ht="16.5" customHeight="1">
      <c r="A3724" s="3"/>
      <c r="B3724" s="3"/>
      <c r="C3724" s="3"/>
      <c r="D3724" s="3"/>
      <c r="E3724" s="3"/>
      <c r="F3724" s="3"/>
      <c r="G3724" s="3"/>
      <c r="H3724" s="3"/>
      <c r="I3724" s="3"/>
      <c r="J3724" s="3"/>
      <c r="K3724" s="3"/>
      <c r="L3724" s="3"/>
      <c r="M3724" s="3"/>
      <c r="N3724" s="3"/>
    </row>
    <row r="3725" spans="1:14" ht="16.5" customHeight="1">
      <c r="A3725" s="3"/>
      <c r="B3725" s="3"/>
      <c r="C3725" s="3"/>
      <c r="D3725" s="3"/>
      <c r="E3725" s="3"/>
      <c r="F3725" s="3"/>
      <c r="G3725" s="3"/>
      <c r="H3725" s="3"/>
      <c r="I3725" s="3"/>
      <c r="J3725" s="3"/>
      <c r="K3725" s="3"/>
      <c r="L3725" s="3"/>
      <c r="M3725" s="3"/>
      <c r="N3725" s="3"/>
    </row>
    <row r="3726" spans="1:14" ht="16.5" customHeight="1">
      <c r="A3726" s="3"/>
      <c r="B3726" s="3"/>
      <c r="C3726" s="3"/>
      <c r="D3726" s="3"/>
      <c r="E3726" s="3"/>
      <c r="F3726" s="3"/>
      <c r="G3726" s="3"/>
      <c r="H3726" s="3"/>
      <c r="I3726" s="3"/>
      <c r="J3726" s="3"/>
      <c r="K3726" s="3"/>
      <c r="L3726" s="3"/>
      <c r="M3726" s="3"/>
      <c r="N3726" s="3"/>
    </row>
    <row r="3727" spans="1:14" ht="16.5" customHeight="1">
      <c r="A3727" s="3"/>
      <c r="B3727" s="3"/>
      <c r="C3727" s="3"/>
      <c r="D3727" s="3"/>
      <c r="E3727" s="3"/>
      <c r="F3727" s="3"/>
      <c r="G3727" s="3"/>
      <c r="H3727" s="3"/>
      <c r="I3727" s="3"/>
      <c r="J3727" s="3"/>
      <c r="K3727" s="3"/>
      <c r="L3727" s="3"/>
      <c r="M3727" s="3"/>
      <c r="N3727" s="3"/>
    </row>
    <row r="3728" spans="1:14" ht="16.5" customHeight="1">
      <c r="A3728" s="3"/>
      <c r="B3728" s="3"/>
      <c r="C3728" s="3"/>
      <c r="D3728" s="3"/>
      <c r="E3728" s="3"/>
      <c r="F3728" s="3"/>
      <c r="G3728" s="3"/>
      <c r="H3728" s="3"/>
      <c r="I3728" s="3"/>
      <c r="J3728" s="3"/>
      <c r="K3728" s="3"/>
      <c r="L3728" s="3"/>
      <c r="M3728" s="3"/>
      <c r="N3728" s="3"/>
    </row>
    <row r="3729" spans="1:14" ht="16.5" customHeight="1">
      <c r="A3729" s="3"/>
      <c r="B3729" s="3"/>
      <c r="C3729" s="3"/>
      <c r="D3729" s="3"/>
      <c r="E3729" s="3"/>
      <c r="F3729" s="3"/>
      <c r="G3729" s="3"/>
      <c r="H3729" s="3"/>
      <c r="I3729" s="3"/>
      <c r="J3729" s="3"/>
      <c r="K3729" s="3"/>
      <c r="L3729" s="3"/>
      <c r="M3729" s="3"/>
      <c r="N3729" s="3"/>
    </row>
    <row r="3730" spans="1:14" ht="16.5" customHeight="1">
      <c r="A3730" s="3"/>
      <c r="B3730" s="3"/>
      <c r="C3730" s="3"/>
      <c r="D3730" s="3"/>
      <c r="E3730" s="3"/>
      <c r="F3730" s="3"/>
      <c r="G3730" s="3"/>
      <c r="H3730" s="3"/>
      <c r="I3730" s="3"/>
      <c r="J3730" s="3"/>
      <c r="K3730" s="3"/>
      <c r="L3730" s="3"/>
      <c r="M3730" s="3"/>
      <c r="N3730" s="3"/>
    </row>
    <row r="3731" spans="1:14" ht="16.5" customHeight="1">
      <c r="A3731" s="3"/>
      <c r="B3731" s="3"/>
      <c r="C3731" s="3"/>
      <c r="D3731" s="3"/>
      <c r="E3731" s="3"/>
      <c r="F3731" s="3"/>
      <c r="G3731" s="3"/>
      <c r="H3731" s="3"/>
      <c r="I3731" s="3"/>
      <c r="J3731" s="3"/>
      <c r="K3731" s="3"/>
      <c r="L3731" s="3"/>
      <c r="M3731" s="3"/>
      <c r="N3731" s="3"/>
    </row>
    <row r="3732" spans="1:14" ht="16.5" customHeight="1">
      <c r="A3732" s="3"/>
      <c r="B3732" s="3"/>
      <c r="C3732" s="3"/>
      <c r="D3732" s="3"/>
      <c r="E3732" s="3"/>
      <c r="F3732" s="3"/>
      <c r="G3732" s="3"/>
      <c r="H3732" s="3"/>
      <c r="I3732" s="3"/>
      <c r="J3732" s="3"/>
      <c r="K3732" s="3"/>
      <c r="L3732" s="3"/>
      <c r="M3732" s="3"/>
      <c r="N3732" s="3"/>
    </row>
    <row r="3733" spans="1:14" ht="16.5" customHeight="1">
      <c r="A3733" s="3"/>
      <c r="B3733" s="3"/>
      <c r="C3733" s="3"/>
      <c r="D3733" s="3"/>
      <c r="E3733" s="3"/>
      <c r="F3733" s="3"/>
      <c r="G3733" s="3"/>
      <c r="H3733" s="3"/>
      <c r="I3733" s="3"/>
      <c r="J3733" s="3"/>
      <c r="K3733" s="3"/>
      <c r="L3733" s="3"/>
      <c r="M3733" s="3"/>
      <c r="N3733" s="3"/>
    </row>
    <row r="3734" spans="1:14" ht="16.5" customHeight="1">
      <c r="A3734" s="3"/>
      <c r="B3734" s="3"/>
      <c r="C3734" s="3"/>
      <c r="D3734" s="3"/>
      <c r="E3734" s="3"/>
      <c r="F3734" s="3"/>
      <c r="G3734" s="3"/>
      <c r="H3734" s="3"/>
      <c r="I3734" s="3"/>
      <c r="J3734" s="3"/>
      <c r="K3734" s="3"/>
      <c r="L3734" s="3"/>
      <c r="M3734" s="3"/>
      <c r="N3734" s="3"/>
    </row>
    <row r="3735" spans="1:14" ht="16.5" customHeight="1">
      <c r="A3735" s="3"/>
      <c r="B3735" s="3"/>
      <c r="C3735" s="3"/>
      <c r="D3735" s="3"/>
      <c r="E3735" s="3"/>
      <c r="F3735" s="3"/>
      <c r="G3735" s="3"/>
      <c r="H3735" s="3"/>
      <c r="I3735" s="3"/>
      <c r="J3735" s="3"/>
      <c r="K3735" s="3"/>
      <c r="L3735" s="3"/>
      <c r="M3735" s="3"/>
      <c r="N3735" s="3"/>
    </row>
    <row r="3736" spans="1:14" ht="16.5" customHeight="1">
      <c r="A3736" s="3"/>
      <c r="B3736" s="3"/>
      <c r="C3736" s="3"/>
      <c r="D3736" s="3"/>
      <c r="E3736" s="3"/>
      <c r="F3736" s="3"/>
      <c r="G3736" s="3"/>
      <c r="H3736" s="3"/>
      <c r="I3736" s="3"/>
      <c r="J3736" s="3"/>
      <c r="K3736" s="3"/>
      <c r="L3736" s="3"/>
      <c r="M3736" s="3"/>
      <c r="N3736" s="3"/>
    </row>
    <row r="3737" spans="1:14" ht="16.5" customHeight="1">
      <c r="A3737" s="3"/>
      <c r="B3737" s="3"/>
      <c r="C3737" s="3"/>
      <c r="D3737" s="3"/>
      <c r="E3737" s="3"/>
      <c r="F3737" s="3"/>
      <c r="G3737" s="3"/>
      <c r="H3737" s="3"/>
      <c r="I3737" s="3"/>
      <c r="J3737" s="3"/>
      <c r="K3737" s="3"/>
      <c r="L3737" s="3"/>
      <c r="M3737" s="3"/>
      <c r="N3737" s="3"/>
    </row>
    <row r="3738" spans="1:14" ht="16.5" customHeight="1">
      <c r="A3738" s="3"/>
      <c r="B3738" s="3"/>
      <c r="C3738" s="3"/>
      <c r="D3738" s="3"/>
      <c r="E3738" s="3"/>
      <c r="F3738" s="3"/>
      <c r="G3738" s="3"/>
      <c r="H3738" s="3"/>
      <c r="I3738" s="3"/>
      <c r="J3738" s="3"/>
      <c r="K3738" s="3"/>
      <c r="L3738" s="3"/>
      <c r="M3738" s="3"/>
      <c r="N3738" s="3"/>
    </row>
    <row r="3739" spans="1:14" ht="16.5" customHeight="1">
      <c r="A3739" s="3"/>
      <c r="B3739" s="3"/>
      <c r="C3739" s="3"/>
      <c r="D3739" s="3"/>
      <c r="E3739" s="3"/>
      <c r="F3739" s="3"/>
      <c r="G3739" s="3"/>
      <c r="H3739" s="3"/>
      <c r="I3739" s="3"/>
      <c r="J3739" s="3"/>
      <c r="K3739" s="3"/>
      <c r="L3739" s="3"/>
      <c r="M3739" s="3"/>
      <c r="N3739" s="3"/>
    </row>
    <row r="3740" spans="1:14" ht="16.5" customHeight="1">
      <c r="A3740" s="3"/>
      <c r="B3740" s="3"/>
      <c r="C3740" s="3"/>
      <c r="D3740" s="3"/>
      <c r="E3740" s="3"/>
      <c r="F3740" s="3"/>
      <c r="G3740" s="3"/>
      <c r="H3740" s="3"/>
      <c r="I3740" s="3"/>
      <c r="J3740" s="3"/>
      <c r="K3740" s="3"/>
      <c r="L3740" s="3"/>
      <c r="M3740" s="3"/>
      <c r="N3740" s="3"/>
    </row>
    <row r="3741" spans="1:14" ht="16.5" customHeight="1">
      <c r="A3741" s="3"/>
      <c r="B3741" s="3"/>
      <c r="C3741" s="3"/>
      <c r="D3741" s="3"/>
      <c r="E3741" s="3"/>
      <c r="F3741" s="3"/>
      <c r="G3741" s="3"/>
      <c r="H3741" s="3"/>
      <c r="I3741" s="3"/>
      <c r="J3741" s="3"/>
      <c r="K3741" s="3"/>
      <c r="L3741" s="3"/>
      <c r="M3741" s="3"/>
      <c r="N3741" s="3"/>
    </row>
    <row r="3742" spans="1:14" ht="16.5" customHeight="1">
      <c r="A3742" s="3"/>
      <c r="B3742" s="3"/>
      <c r="C3742" s="3"/>
      <c r="D3742" s="3"/>
      <c r="E3742" s="3"/>
      <c r="F3742" s="3"/>
      <c r="G3742" s="3"/>
      <c r="H3742" s="3"/>
      <c r="I3742" s="3"/>
      <c r="J3742" s="3"/>
      <c r="K3742" s="3"/>
      <c r="L3742" s="3"/>
      <c r="M3742" s="3"/>
      <c r="N3742" s="3"/>
    </row>
    <row r="3743" spans="1:14" ht="16.5" customHeight="1">
      <c r="A3743" s="3"/>
      <c r="B3743" s="3"/>
      <c r="C3743" s="3"/>
      <c r="D3743" s="3"/>
      <c r="E3743" s="3"/>
      <c r="F3743" s="3"/>
      <c r="G3743" s="3"/>
      <c r="H3743" s="3"/>
      <c r="I3743" s="3"/>
      <c r="J3743" s="3"/>
      <c r="K3743" s="3"/>
      <c r="L3743" s="3"/>
      <c r="M3743" s="3"/>
      <c r="N3743" s="3"/>
    </row>
    <row r="3744" spans="1:14" ht="16.5" customHeight="1">
      <c r="A3744" s="3"/>
      <c r="B3744" s="3"/>
      <c r="C3744" s="3"/>
      <c r="D3744" s="3"/>
      <c r="E3744" s="3"/>
      <c r="F3744" s="3"/>
      <c r="G3744" s="3"/>
      <c r="H3744" s="3"/>
      <c r="I3744" s="3"/>
      <c r="J3744" s="3"/>
      <c r="K3744" s="3"/>
      <c r="L3744" s="3"/>
      <c r="M3744" s="3"/>
      <c r="N3744" s="3"/>
    </row>
    <row r="3745" spans="1:14" ht="16.5" customHeight="1">
      <c r="A3745" s="3"/>
      <c r="B3745" s="3"/>
      <c r="C3745" s="3"/>
      <c r="D3745" s="3"/>
      <c r="E3745" s="3"/>
      <c r="F3745" s="3"/>
      <c r="G3745" s="3"/>
      <c r="H3745" s="3"/>
      <c r="I3745" s="3"/>
      <c r="J3745" s="3"/>
      <c r="K3745" s="3"/>
      <c r="L3745" s="3"/>
      <c r="M3745" s="3"/>
      <c r="N3745" s="3"/>
    </row>
    <row r="3746" spans="1:14" ht="16.5" customHeight="1">
      <c r="A3746" s="3"/>
      <c r="B3746" s="3"/>
      <c r="C3746" s="3"/>
      <c r="D3746" s="3"/>
      <c r="E3746" s="3"/>
      <c r="F3746" s="3"/>
      <c r="G3746" s="3"/>
      <c r="H3746" s="3"/>
      <c r="I3746" s="3"/>
      <c r="J3746" s="3"/>
      <c r="K3746" s="3"/>
      <c r="L3746" s="3"/>
      <c r="M3746" s="3"/>
      <c r="N3746" s="3"/>
    </row>
    <row r="3747" spans="1:14" ht="16.5" customHeight="1">
      <c r="A3747" s="3"/>
      <c r="B3747" s="3"/>
      <c r="C3747" s="3"/>
      <c r="D3747" s="3"/>
      <c r="E3747" s="3"/>
      <c r="F3747" s="3"/>
      <c r="G3747" s="3"/>
      <c r="H3747" s="3"/>
      <c r="I3747" s="3"/>
      <c r="J3747" s="3"/>
      <c r="K3747" s="3"/>
      <c r="L3747" s="3"/>
      <c r="M3747" s="3"/>
      <c r="N3747" s="3"/>
    </row>
    <row r="3748" spans="1:14" ht="16.5" customHeight="1">
      <c r="A3748" s="3"/>
      <c r="B3748" s="3"/>
      <c r="C3748" s="3"/>
      <c r="D3748" s="3"/>
      <c r="E3748" s="3"/>
      <c r="F3748" s="3"/>
      <c r="G3748" s="3"/>
      <c r="H3748" s="3"/>
      <c r="I3748" s="3"/>
      <c r="J3748" s="3"/>
      <c r="K3748" s="3"/>
      <c r="L3748" s="3"/>
      <c r="M3748" s="3"/>
      <c r="N3748" s="3"/>
    </row>
    <row r="3749" spans="1:14" ht="16.5" customHeight="1">
      <c r="A3749" s="3"/>
      <c r="B3749" s="3"/>
      <c r="C3749" s="3"/>
      <c r="D3749" s="3"/>
      <c r="E3749" s="3"/>
      <c r="F3749" s="3"/>
      <c r="G3749" s="3"/>
      <c r="H3749" s="3"/>
      <c r="I3749" s="3"/>
      <c r="J3749" s="3"/>
      <c r="K3749" s="3"/>
      <c r="L3749" s="3"/>
      <c r="M3749" s="3"/>
      <c r="N3749" s="3"/>
    </row>
    <row r="3750" spans="1:14" ht="16.5" customHeight="1">
      <c r="A3750" s="3"/>
      <c r="B3750" s="3"/>
      <c r="C3750" s="3"/>
      <c r="D3750" s="3"/>
      <c r="E3750" s="3"/>
      <c r="F3750" s="3"/>
      <c r="G3750" s="3"/>
      <c r="H3750" s="3"/>
      <c r="I3750" s="3"/>
      <c r="J3750" s="3"/>
      <c r="K3750" s="3"/>
      <c r="L3750" s="3"/>
      <c r="M3750" s="3"/>
      <c r="N3750" s="3"/>
    </row>
    <row r="3751" spans="1:14" ht="16.5" customHeight="1">
      <c r="A3751" s="3"/>
      <c r="B3751" s="3"/>
      <c r="C3751" s="3"/>
      <c r="D3751" s="3"/>
      <c r="E3751" s="3"/>
      <c r="F3751" s="3"/>
      <c r="G3751" s="3"/>
      <c r="H3751" s="3"/>
      <c r="I3751" s="3"/>
      <c r="J3751" s="3"/>
      <c r="K3751" s="3"/>
      <c r="L3751" s="3"/>
      <c r="M3751" s="3"/>
      <c r="N3751" s="3"/>
    </row>
    <row r="3752" spans="1:14" ht="16.5" customHeight="1">
      <c r="A3752" s="3"/>
      <c r="B3752" s="3"/>
      <c r="C3752" s="3"/>
      <c r="D3752" s="3"/>
      <c r="E3752" s="3"/>
      <c r="F3752" s="3"/>
      <c r="G3752" s="3"/>
      <c r="H3752" s="3"/>
      <c r="I3752" s="3"/>
      <c r="J3752" s="3"/>
      <c r="K3752" s="3"/>
      <c r="L3752" s="3"/>
      <c r="M3752" s="3"/>
      <c r="N3752" s="3"/>
    </row>
    <row r="3753" spans="1:14" ht="16.5" customHeight="1">
      <c r="A3753" s="3"/>
      <c r="B3753" s="3"/>
      <c r="C3753" s="3"/>
      <c r="D3753" s="3"/>
      <c r="E3753" s="3"/>
      <c r="F3753" s="3"/>
      <c r="G3753" s="3"/>
      <c r="H3753" s="3"/>
      <c r="I3753" s="3"/>
      <c r="J3753" s="3"/>
      <c r="K3753" s="3"/>
      <c r="L3753" s="3"/>
      <c r="M3753" s="3"/>
      <c r="N3753" s="3"/>
    </row>
    <row r="3754" spans="1:14" ht="16.5" customHeight="1">
      <c r="A3754" s="3"/>
      <c r="B3754" s="3"/>
      <c r="C3754" s="3"/>
      <c r="D3754" s="3"/>
      <c r="E3754" s="3"/>
      <c r="F3754" s="3"/>
      <c r="G3754" s="3"/>
      <c r="H3754" s="3"/>
      <c r="I3754" s="3"/>
      <c r="J3754" s="3"/>
      <c r="K3754" s="3"/>
      <c r="L3754" s="3"/>
      <c r="M3754" s="3"/>
      <c r="N3754" s="3"/>
    </row>
    <row r="3755" spans="1:14" ht="16.5" customHeight="1">
      <c r="A3755" s="3"/>
      <c r="B3755" s="3"/>
      <c r="C3755" s="3"/>
      <c r="D3755" s="3"/>
      <c r="E3755" s="3"/>
      <c r="F3755" s="3"/>
      <c r="G3755" s="3"/>
      <c r="H3755" s="3"/>
      <c r="I3755" s="3"/>
      <c r="J3755" s="3"/>
      <c r="K3755" s="3"/>
      <c r="L3755" s="3"/>
      <c r="M3755" s="3"/>
      <c r="N3755" s="3"/>
    </row>
    <row r="3756" spans="1:14" ht="16.5" customHeight="1">
      <c r="A3756" s="3"/>
      <c r="B3756" s="3"/>
      <c r="C3756" s="3"/>
      <c r="D3756" s="3"/>
      <c r="E3756" s="3"/>
      <c r="F3756" s="3"/>
      <c r="G3756" s="3"/>
      <c r="H3756" s="3"/>
      <c r="I3756" s="3"/>
      <c r="J3756" s="3"/>
      <c r="K3756" s="3"/>
      <c r="L3756" s="3"/>
      <c r="M3756" s="3"/>
      <c r="N3756" s="3"/>
    </row>
    <row r="3757" spans="1:14" ht="16.5" customHeight="1">
      <c r="A3757" s="3"/>
      <c r="B3757" s="3"/>
      <c r="C3757" s="3"/>
      <c r="D3757" s="3"/>
      <c r="E3757" s="3"/>
      <c r="F3757" s="3"/>
      <c r="G3757" s="3"/>
      <c r="H3757" s="3"/>
      <c r="I3757" s="3"/>
      <c r="J3757" s="3"/>
      <c r="K3757" s="3"/>
      <c r="L3757" s="3"/>
      <c r="M3757" s="3"/>
      <c r="N3757" s="3"/>
    </row>
    <row r="3758" spans="1:14" ht="16.5" customHeight="1">
      <c r="A3758" s="3"/>
      <c r="B3758" s="3"/>
      <c r="C3758" s="3"/>
      <c r="D3758" s="3"/>
      <c r="E3758" s="3"/>
      <c r="F3758" s="3"/>
      <c r="G3758" s="3"/>
      <c r="H3758" s="3"/>
      <c r="I3758" s="3"/>
      <c r="J3758" s="3"/>
      <c r="K3758" s="3"/>
      <c r="L3758" s="3"/>
      <c r="M3758" s="3"/>
      <c r="N3758" s="3"/>
    </row>
    <row r="3759" spans="1:14" ht="16.5" customHeight="1">
      <c r="A3759" s="3"/>
      <c r="B3759" s="3"/>
      <c r="C3759" s="3"/>
      <c r="D3759" s="3"/>
      <c r="E3759" s="3"/>
      <c r="F3759" s="3"/>
      <c r="G3759" s="3"/>
      <c r="H3759" s="3"/>
      <c r="I3759" s="3"/>
      <c r="J3759" s="3"/>
      <c r="K3759" s="3"/>
      <c r="L3759" s="3"/>
      <c r="M3759" s="3"/>
      <c r="N3759" s="3"/>
    </row>
    <row r="3760" spans="1:14" ht="16.5" customHeight="1">
      <c r="A3760" s="3"/>
      <c r="B3760" s="3"/>
      <c r="C3760" s="3"/>
      <c r="D3760" s="3"/>
      <c r="E3760" s="3"/>
      <c r="F3760" s="3"/>
      <c r="G3760" s="3"/>
      <c r="H3760" s="3"/>
      <c r="I3760" s="3"/>
      <c r="J3760" s="3"/>
      <c r="K3760" s="3"/>
      <c r="L3760" s="3"/>
      <c r="M3760" s="3"/>
      <c r="N3760" s="3"/>
    </row>
    <row r="3761" spans="1:14" ht="16.5" customHeight="1">
      <c r="A3761" s="3"/>
      <c r="B3761" s="3"/>
      <c r="C3761" s="3"/>
      <c r="D3761" s="3"/>
      <c r="E3761" s="3"/>
      <c r="F3761" s="3"/>
      <c r="G3761" s="3"/>
      <c r="H3761" s="3"/>
      <c r="I3761" s="3"/>
      <c r="J3761" s="3"/>
      <c r="K3761" s="3"/>
      <c r="L3761" s="3"/>
      <c r="M3761" s="3"/>
      <c r="N3761" s="3"/>
    </row>
    <row r="3762" spans="1:14" ht="16.5" customHeight="1">
      <c r="A3762" s="3"/>
      <c r="B3762" s="3"/>
      <c r="C3762" s="3"/>
      <c r="D3762" s="3"/>
      <c r="E3762" s="3"/>
      <c r="F3762" s="3"/>
      <c r="G3762" s="3"/>
      <c r="H3762" s="3"/>
      <c r="I3762" s="3"/>
      <c r="J3762" s="3"/>
      <c r="K3762" s="3"/>
      <c r="L3762" s="3"/>
      <c r="M3762" s="3"/>
      <c r="N3762" s="3"/>
    </row>
    <row r="3763" spans="1:14" ht="16.5" customHeight="1">
      <c r="A3763" s="3"/>
      <c r="B3763" s="3"/>
      <c r="C3763" s="3"/>
      <c r="D3763" s="3"/>
      <c r="E3763" s="3"/>
      <c r="F3763" s="3"/>
      <c r="G3763" s="3"/>
      <c r="H3763" s="3"/>
      <c r="I3763" s="3"/>
      <c r="J3763" s="3"/>
      <c r="K3763" s="3"/>
      <c r="L3763" s="3"/>
      <c r="M3763" s="3"/>
      <c r="N3763" s="3"/>
    </row>
    <row r="3764" spans="1:14" ht="16.5" customHeight="1">
      <c r="A3764" s="3"/>
      <c r="B3764" s="3"/>
      <c r="C3764" s="3"/>
      <c r="D3764" s="3"/>
      <c r="E3764" s="3"/>
      <c r="F3764" s="3"/>
      <c r="G3764" s="3"/>
      <c r="H3764" s="3"/>
      <c r="I3764" s="3"/>
      <c r="J3764" s="3"/>
      <c r="K3764" s="3"/>
      <c r="L3764" s="3"/>
      <c r="M3764" s="3"/>
      <c r="N3764" s="3"/>
    </row>
    <row r="3765" spans="1:14" ht="16.5" customHeight="1">
      <c r="A3765" s="3"/>
      <c r="B3765" s="3"/>
      <c r="C3765" s="3"/>
      <c r="D3765" s="3"/>
      <c r="E3765" s="3"/>
      <c r="F3765" s="3"/>
      <c r="G3765" s="3"/>
      <c r="H3765" s="3"/>
      <c r="I3765" s="3"/>
      <c r="J3765" s="3"/>
      <c r="K3765" s="3"/>
      <c r="L3765" s="3"/>
      <c r="M3765" s="3"/>
      <c r="N3765" s="3"/>
    </row>
    <row r="3766" spans="1:14" ht="16.5" customHeight="1">
      <c r="A3766" s="3"/>
      <c r="B3766" s="3"/>
      <c r="C3766" s="3"/>
      <c r="D3766" s="3"/>
      <c r="E3766" s="3"/>
      <c r="F3766" s="3"/>
      <c r="G3766" s="3"/>
      <c r="H3766" s="3"/>
      <c r="I3766" s="3"/>
      <c r="J3766" s="3"/>
      <c r="K3766" s="3"/>
      <c r="L3766" s="3"/>
      <c r="M3766" s="3"/>
      <c r="N3766" s="3"/>
    </row>
    <row r="3767" spans="1:14" ht="16.5" customHeight="1">
      <c r="A3767" s="3"/>
      <c r="B3767" s="3"/>
      <c r="C3767" s="3"/>
      <c r="D3767" s="3"/>
      <c r="E3767" s="3"/>
      <c r="F3767" s="3"/>
      <c r="G3767" s="3"/>
      <c r="H3767" s="3"/>
      <c r="I3767" s="3"/>
      <c r="J3767" s="3"/>
      <c r="K3767" s="3"/>
      <c r="L3767" s="3"/>
      <c r="M3767" s="3"/>
      <c r="N3767" s="3"/>
    </row>
    <row r="3768" spans="1:14" ht="16.5" customHeight="1">
      <c r="A3768" s="3"/>
      <c r="B3768" s="3"/>
      <c r="C3768" s="3"/>
      <c r="D3768" s="3"/>
      <c r="E3768" s="3"/>
      <c r="F3768" s="3"/>
      <c r="G3768" s="3"/>
      <c r="H3768" s="3"/>
      <c r="I3768" s="3"/>
      <c r="J3768" s="3"/>
      <c r="K3768" s="3"/>
      <c r="L3768" s="3"/>
      <c r="M3768" s="3"/>
      <c r="N3768" s="3"/>
    </row>
    <row r="3769" spans="1:14" ht="16.5" customHeight="1">
      <c r="A3769" s="3"/>
      <c r="B3769" s="3"/>
      <c r="C3769" s="3"/>
      <c r="D3769" s="3"/>
      <c r="E3769" s="3"/>
      <c r="F3769" s="3"/>
      <c r="G3769" s="3"/>
      <c r="H3769" s="3"/>
      <c r="I3769" s="3"/>
      <c r="J3769" s="3"/>
      <c r="K3769" s="3"/>
      <c r="L3769" s="3"/>
      <c r="M3769" s="3"/>
      <c r="N3769" s="3"/>
    </row>
    <row r="3770" spans="1:14" ht="16.5" customHeight="1">
      <c r="A3770" s="3"/>
      <c r="B3770" s="3"/>
      <c r="C3770" s="3"/>
      <c r="D3770" s="3"/>
      <c r="E3770" s="3"/>
      <c r="F3770" s="3"/>
      <c r="G3770" s="3"/>
      <c r="H3770" s="3"/>
      <c r="I3770" s="3"/>
      <c r="J3770" s="3"/>
      <c r="K3770" s="3"/>
      <c r="L3770" s="3"/>
      <c r="M3770" s="3"/>
      <c r="N3770" s="3"/>
    </row>
    <row r="3771" spans="1:14" ht="16.5" customHeight="1">
      <c r="A3771" s="3"/>
      <c r="B3771" s="3"/>
      <c r="C3771" s="3"/>
      <c r="D3771" s="3"/>
      <c r="E3771" s="3"/>
      <c r="F3771" s="3"/>
      <c r="G3771" s="3"/>
      <c r="H3771" s="3"/>
      <c r="I3771" s="3"/>
      <c r="J3771" s="3"/>
      <c r="K3771" s="3"/>
      <c r="L3771" s="3"/>
      <c r="M3771" s="3"/>
      <c r="N3771" s="3"/>
    </row>
    <row r="3772" spans="1:14" ht="16.5" customHeight="1">
      <c r="A3772" s="3"/>
      <c r="B3772" s="3"/>
      <c r="C3772" s="3"/>
      <c r="D3772" s="3"/>
      <c r="E3772" s="3"/>
      <c r="F3772" s="3"/>
      <c r="G3772" s="3"/>
      <c r="H3772" s="3"/>
      <c r="I3772" s="3"/>
      <c r="J3772" s="3"/>
      <c r="K3772" s="3"/>
      <c r="L3772" s="3"/>
      <c r="M3772" s="3"/>
      <c r="N3772" s="3"/>
    </row>
    <row r="3773" spans="1:14" ht="16.5" customHeight="1">
      <c r="A3773" s="3"/>
      <c r="B3773" s="3"/>
      <c r="C3773" s="3"/>
      <c r="D3773" s="3"/>
      <c r="E3773" s="3"/>
      <c r="F3773" s="3"/>
      <c r="G3773" s="3"/>
      <c r="H3773" s="3"/>
      <c r="I3773" s="3"/>
      <c r="J3773" s="3"/>
      <c r="K3773" s="3"/>
      <c r="L3773" s="3"/>
      <c r="M3773" s="3"/>
      <c r="N3773" s="3"/>
    </row>
    <row r="3774" spans="1:14" ht="16.5" customHeight="1">
      <c r="A3774" s="3"/>
      <c r="B3774" s="3"/>
      <c r="C3774" s="3"/>
      <c r="D3774" s="3"/>
      <c r="E3774" s="3"/>
      <c r="F3774" s="3"/>
      <c r="G3774" s="3"/>
      <c r="H3774" s="3"/>
      <c r="I3774" s="3"/>
      <c r="J3774" s="3"/>
      <c r="K3774" s="3"/>
      <c r="L3774" s="3"/>
      <c r="M3774" s="3"/>
      <c r="N3774" s="3"/>
    </row>
    <row r="3775" spans="1:14" ht="16.5" customHeight="1">
      <c r="A3775" s="3"/>
      <c r="B3775" s="3"/>
      <c r="C3775" s="3"/>
      <c r="D3775" s="3"/>
      <c r="E3775" s="3"/>
      <c r="F3775" s="3"/>
      <c r="G3775" s="3"/>
      <c r="H3775" s="3"/>
      <c r="I3775" s="3"/>
      <c r="J3775" s="3"/>
      <c r="K3775" s="3"/>
      <c r="L3775" s="3"/>
      <c r="M3775" s="3"/>
      <c r="N3775" s="3"/>
    </row>
    <row r="3776" spans="1:14" ht="16.5" customHeight="1">
      <c r="A3776" s="3"/>
      <c r="B3776" s="3"/>
      <c r="C3776" s="3"/>
      <c r="D3776" s="3"/>
      <c r="E3776" s="3"/>
      <c r="F3776" s="3"/>
      <c r="G3776" s="3"/>
      <c r="H3776" s="3"/>
      <c r="I3776" s="3"/>
      <c r="J3776" s="3"/>
      <c r="K3776" s="3"/>
      <c r="L3776" s="3"/>
      <c r="M3776" s="3"/>
      <c r="N3776" s="3"/>
    </row>
    <row r="3777" spans="1:14" ht="16.5" customHeight="1">
      <c r="A3777" s="3"/>
      <c r="B3777" s="3"/>
      <c r="C3777" s="3"/>
      <c r="D3777" s="3"/>
      <c r="E3777" s="3"/>
      <c r="F3777" s="3"/>
      <c r="G3777" s="3"/>
      <c r="H3777" s="3"/>
      <c r="I3777" s="3"/>
      <c r="J3777" s="3"/>
      <c r="K3777" s="3"/>
      <c r="L3777" s="3"/>
      <c r="M3777" s="3"/>
      <c r="N3777" s="3"/>
    </row>
    <row r="3778" spans="1:14" ht="16.5" customHeight="1">
      <c r="A3778" s="3"/>
      <c r="B3778" s="3"/>
      <c r="C3778" s="3"/>
      <c r="D3778" s="3"/>
      <c r="E3778" s="3"/>
      <c r="F3778" s="3"/>
      <c r="G3778" s="3"/>
      <c r="H3778" s="3"/>
      <c r="I3778" s="3"/>
      <c r="J3778" s="3"/>
      <c r="K3778" s="3"/>
      <c r="L3778" s="3"/>
      <c r="M3778" s="3"/>
      <c r="N3778" s="3"/>
    </row>
    <row r="3779" spans="1:14" ht="16.5" customHeight="1">
      <c r="A3779" s="3"/>
      <c r="B3779" s="3"/>
      <c r="C3779" s="3"/>
      <c r="D3779" s="3"/>
      <c r="E3779" s="3"/>
      <c r="F3779" s="3"/>
      <c r="G3779" s="3"/>
      <c r="H3779" s="3"/>
      <c r="I3779" s="3"/>
      <c r="J3779" s="3"/>
      <c r="K3779" s="3"/>
      <c r="L3779" s="3"/>
      <c r="M3779" s="3"/>
      <c r="N3779" s="3"/>
    </row>
    <row r="3780" spans="1:14" ht="16.5" customHeight="1">
      <c r="A3780" s="3"/>
      <c r="B3780" s="3"/>
      <c r="C3780" s="3"/>
      <c r="D3780" s="3"/>
      <c r="E3780" s="3"/>
      <c r="F3780" s="3"/>
      <c r="G3780" s="3"/>
      <c r="H3780" s="3"/>
      <c r="I3780" s="3"/>
      <c r="J3780" s="3"/>
      <c r="K3780" s="3"/>
      <c r="L3780" s="3"/>
      <c r="M3780" s="3"/>
      <c r="N3780" s="3"/>
    </row>
    <row r="3781" spans="1:14" ht="16.5" customHeight="1">
      <c r="A3781" s="3"/>
      <c r="B3781" s="3"/>
      <c r="C3781" s="3"/>
      <c r="D3781" s="3"/>
      <c r="E3781" s="3"/>
      <c r="F3781" s="3"/>
      <c r="G3781" s="3"/>
      <c r="H3781" s="3"/>
      <c r="I3781" s="3"/>
      <c r="J3781" s="3"/>
      <c r="K3781" s="3"/>
      <c r="L3781" s="3"/>
      <c r="M3781" s="3"/>
      <c r="N3781" s="3"/>
    </row>
    <row r="3782" spans="1:14" ht="16.5" customHeight="1">
      <c r="A3782" s="3"/>
      <c r="B3782" s="3"/>
      <c r="C3782" s="3"/>
      <c r="D3782" s="3"/>
      <c r="E3782" s="3"/>
      <c r="F3782" s="3"/>
      <c r="G3782" s="3"/>
      <c r="H3782" s="3"/>
      <c r="I3782" s="3"/>
      <c r="J3782" s="3"/>
      <c r="K3782" s="3"/>
      <c r="L3782" s="3"/>
      <c r="M3782" s="3"/>
      <c r="N3782" s="3"/>
    </row>
    <row r="3783" spans="1:14" ht="16.5" customHeight="1">
      <c r="A3783" s="3"/>
      <c r="B3783" s="3"/>
      <c r="C3783" s="3"/>
      <c r="D3783" s="3"/>
      <c r="E3783" s="3"/>
      <c r="F3783" s="3"/>
      <c r="G3783" s="3"/>
      <c r="H3783" s="3"/>
      <c r="I3783" s="3"/>
      <c r="J3783" s="3"/>
      <c r="K3783" s="3"/>
      <c r="L3783" s="3"/>
      <c r="M3783" s="3"/>
      <c r="N3783" s="3"/>
    </row>
    <row r="3784" spans="1:14" ht="16.5" customHeight="1">
      <c r="A3784" s="3"/>
      <c r="B3784" s="3"/>
      <c r="C3784" s="3"/>
      <c r="D3784" s="3"/>
      <c r="E3784" s="3"/>
      <c r="F3784" s="3"/>
      <c r="G3784" s="3"/>
      <c r="H3784" s="3"/>
      <c r="I3784" s="3"/>
      <c r="J3784" s="3"/>
      <c r="K3784" s="3"/>
      <c r="L3784" s="3"/>
      <c r="M3784" s="3"/>
      <c r="N3784" s="3"/>
    </row>
    <row r="3785" spans="1:14" ht="16.5" customHeight="1">
      <c r="A3785" s="3"/>
      <c r="B3785" s="3"/>
      <c r="C3785" s="3"/>
      <c r="D3785" s="3"/>
      <c r="E3785" s="3"/>
      <c r="F3785" s="3"/>
      <c r="G3785" s="3"/>
      <c r="H3785" s="3"/>
      <c r="I3785" s="3"/>
      <c r="J3785" s="3"/>
      <c r="K3785" s="3"/>
      <c r="L3785" s="3"/>
      <c r="M3785" s="3"/>
      <c r="N3785" s="3"/>
    </row>
    <row r="3786" spans="1:14" ht="16.5" customHeight="1">
      <c r="A3786" s="3"/>
      <c r="B3786" s="3"/>
      <c r="C3786" s="3"/>
      <c r="D3786" s="3"/>
      <c r="E3786" s="3"/>
      <c r="F3786" s="3"/>
      <c r="G3786" s="3"/>
      <c r="H3786" s="3"/>
      <c r="I3786" s="3"/>
      <c r="J3786" s="3"/>
      <c r="K3786" s="3"/>
      <c r="L3786" s="3"/>
      <c r="M3786" s="3"/>
      <c r="N3786" s="3"/>
    </row>
    <row r="3787" spans="1:14" ht="16.5" customHeight="1">
      <c r="A3787" s="3"/>
      <c r="B3787" s="3"/>
      <c r="C3787" s="3"/>
      <c r="D3787" s="3"/>
      <c r="E3787" s="3"/>
      <c r="F3787" s="3"/>
      <c r="G3787" s="3"/>
      <c r="H3787" s="3"/>
      <c r="I3787" s="3"/>
      <c r="J3787" s="3"/>
      <c r="K3787" s="3"/>
      <c r="L3787" s="3"/>
      <c r="M3787" s="3"/>
      <c r="N3787" s="3"/>
    </row>
    <row r="3788" spans="1:14" ht="16.5" customHeight="1">
      <c r="A3788" s="3"/>
      <c r="B3788" s="3"/>
      <c r="C3788" s="3"/>
      <c r="D3788" s="3"/>
      <c r="E3788" s="3"/>
      <c r="F3788" s="3"/>
      <c r="G3788" s="3"/>
      <c r="H3788" s="3"/>
      <c r="I3788" s="3"/>
      <c r="J3788" s="3"/>
      <c r="K3788" s="3"/>
      <c r="L3788" s="3"/>
      <c r="M3788" s="3"/>
      <c r="N3788" s="3"/>
    </row>
    <row r="3789" spans="1:14" ht="16.5" customHeight="1">
      <c r="A3789" s="3"/>
      <c r="B3789" s="3"/>
      <c r="C3789" s="3"/>
      <c r="D3789" s="3"/>
      <c r="E3789" s="3"/>
      <c r="F3789" s="3"/>
      <c r="G3789" s="3"/>
      <c r="H3789" s="3"/>
      <c r="I3789" s="3"/>
      <c r="J3789" s="3"/>
      <c r="K3789" s="3"/>
      <c r="L3789" s="3"/>
      <c r="M3789" s="3"/>
      <c r="N3789" s="3"/>
    </row>
    <row r="3790" spans="1:14" ht="16.5" customHeight="1">
      <c r="A3790" s="3"/>
      <c r="B3790" s="3"/>
      <c r="C3790" s="3"/>
      <c r="D3790" s="3"/>
      <c r="E3790" s="3"/>
      <c r="F3790" s="3"/>
      <c r="G3790" s="3"/>
      <c r="H3790" s="3"/>
      <c r="I3790" s="3"/>
      <c r="J3790" s="3"/>
      <c r="K3790" s="3"/>
      <c r="L3790" s="3"/>
      <c r="M3790" s="3"/>
      <c r="N3790" s="3"/>
    </row>
    <row r="3791" spans="1:14" ht="16.5" customHeight="1">
      <c r="A3791" s="3"/>
      <c r="B3791" s="3"/>
      <c r="C3791" s="3"/>
      <c r="D3791" s="3"/>
      <c r="E3791" s="3"/>
      <c r="F3791" s="3"/>
      <c r="G3791" s="3"/>
      <c r="H3791" s="3"/>
      <c r="I3791" s="3"/>
      <c r="J3791" s="3"/>
      <c r="K3791" s="3"/>
      <c r="L3791" s="3"/>
      <c r="M3791" s="3"/>
      <c r="N3791" s="3"/>
    </row>
    <row r="3792" spans="1:14" ht="16.5" customHeight="1">
      <c r="A3792" s="3"/>
      <c r="B3792" s="3"/>
      <c r="C3792" s="3"/>
      <c r="D3792" s="3"/>
      <c r="E3792" s="3"/>
      <c r="F3792" s="3"/>
      <c r="G3792" s="3"/>
      <c r="H3792" s="3"/>
      <c r="I3792" s="3"/>
      <c r="J3792" s="3"/>
      <c r="K3792" s="3"/>
      <c r="L3792" s="3"/>
      <c r="M3792" s="3"/>
      <c r="N3792" s="3"/>
    </row>
    <row r="3793" spans="1:14" ht="16.5" customHeight="1">
      <c r="A3793" s="3"/>
      <c r="B3793" s="3"/>
      <c r="C3793" s="3"/>
      <c r="D3793" s="3"/>
      <c r="E3793" s="3"/>
      <c r="F3793" s="3"/>
      <c r="G3793" s="3"/>
      <c r="H3793" s="3"/>
      <c r="I3793" s="3"/>
      <c r="J3793" s="3"/>
      <c r="K3793" s="3"/>
      <c r="L3793" s="3"/>
      <c r="M3793" s="3"/>
      <c r="N3793" s="3"/>
    </row>
    <row r="3794" spans="1:14" ht="16.5" customHeight="1">
      <c r="A3794" s="3"/>
      <c r="B3794" s="3"/>
      <c r="C3794" s="3"/>
      <c r="D3794" s="3"/>
      <c r="E3794" s="3"/>
      <c r="F3794" s="3"/>
      <c r="G3794" s="3"/>
      <c r="H3794" s="3"/>
      <c r="I3794" s="3"/>
      <c r="J3794" s="3"/>
      <c r="K3794" s="3"/>
      <c r="L3794" s="3"/>
      <c r="M3794" s="3"/>
      <c r="N3794" s="3"/>
    </row>
    <row r="3795" spans="1:14" ht="16.5" customHeight="1">
      <c r="A3795" s="3"/>
      <c r="B3795" s="3"/>
      <c r="C3795" s="3"/>
      <c r="D3795" s="3"/>
      <c r="E3795" s="3"/>
      <c r="F3795" s="3"/>
      <c r="G3795" s="3"/>
      <c r="H3795" s="3"/>
      <c r="I3795" s="3"/>
      <c r="J3795" s="3"/>
      <c r="K3795" s="3"/>
      <c r="L3795" s="3"/>
      <c r="M3795" s="3"/>
      <c r="N3795" s="3"/>
    </row>
    <row r="3796" spans="1:14" ht="16.5" customHeight="1">
      <c r="A3796" s="3"/>
      <c r="B3796" s="3"/>
      <c r="C3796" s="3"/>
      <c r="D3796" s="3"/>
      <c r="E3796" s="3"/>
      <c r="F3796" s="3"/>
      <c r="G3796" s="3"/>
      <c r="H3796" s="3"/>
      <c r="I3796" s="3"/>
      <c r="J3796" s="3"/>
      <c r="K3796" s="3"/>
      <c r="L3796" s="3"/>
      <c r="M3796" s="3"/>
      <c r="N3796" s="3"/>
    </row>
    <row r="3797" spans="1:14" ht="16.5" customHeight="1">
      <c r="A3797" s="3"/>
      <c r="B3797" s="3"/>
      <c r="C3797" s="3"/>
      <c r="D3797" s="3"/>
      <c r="E3797" s="3"/>
      <c r="F3797" s="3"/>
      <c r="G3797" s="3"/>
      <c r="H3797" s="3"/>
      <c r="I3797" s="3"/>
      <c r="J3797" s="3"/>
      <c r="K3797" s="3"/>
      <c r="L3797" s="3"/>
      <c r="M3797" s="3"/>
      <c r="N3797" s="3"/>
    </row>
    <row r="3798" spans="1:14" ht="16.5" customHeight="1">
      <c r="A3798" s="3"/>
      <c r="B3798" s="3"/>
      <c r="C3798" s="3"/>
      <c r="D3798" s="3"/>
      <c r="E3798" s="3"/>
      <c r="F3798" s="3"/>
      <c r="G3798" s="3"/>
      <c r="H3798" s="3"/>
      <c r="I3798" s="3"/>
      <c r="J3798" s="3"/>
      <c r="K3798" s="3"/>
      <c r="L3798" s="3"/>
      <c r="M3798" s="3"/>
      <c r="N3798" s="3"/>
    </row>
    <row r="3799" spans="1:14" ht="16.5" customHeight="1">
      <c r="A3799" s="3"/>
      <c r="B3799" s="3"/>
      <c r="C3799" s="3"/>
      <c r="D3799" s="3"/>
      <c r="E3799" s="3"/>
      <c r="F3799" s="3"/>
      <c r="G3799" s="3"/>
      <c r="H3799" s="3"/>
      <c r="I3799" s="3"/>
      <c r="J3799" s="3"/>
      <c r="K3799" s="3"/>
      <c r="L3799" s="3"/>
      <c r="M3799" s="3"/>
      <c r="N3799" s="3"/>
    </row>
    <row r="3800" spans="1:14" ht="16.5" customHeight="1">
      <c r="A3800" s="3"/>
      <c r="B3800" s="3"/>
      <c r="C3800" s="3"/>
      <c r="D3800" s="3"/>
      <c r="E3800" s="3"/>
      <c r="F3800" s="3"/>
      <c r="G3800" s="3"/>
      <c r="H3800" s="3"/>
      <c r="I3800" s="3"/>
      <c r="J3800" s="3"/>
      <c r="K3800" s="3"/>
      <c r="L3800" s="3"/>
      <c r="M3800" s="3"/>
      <c r="N3800" s="3"/>
    </row>
    <row r="3801" spans="1:14" ht="16.5" customHeight="1">
      <c r="A3801" s="3"/>
      <c r="B3801" s="3"/>
      <c r="C3801" s="3"/>
      <c r="D3801" s="3"/>
      <c r="E3801" s="3"/>
      <c r="F3801" s="3"/>
      <c r="G3801" s="3"/>
      <c r="H3801" s="3"/>
      <c r="I3801" s="3"/>
      <c r="J3801" s="3"/>
      <c r="K3801" s="3"/>
      <c r="L3801" s="3"/>
      <c r="M3801" s="3"/>
      <c r="N3801" s="3"/>
    </row>
    <row r="3802" spans="1:14" ht="16.5" customHeight="1">
      <c r="A3802" s="3"/>
      <c r="B3802" s="3"/>
      <c r="C3802" s="3"/>
      <c r="D3802" s="3"/>
      <c r="E3802" s="3"/>
      <c r="F3802" s="3"/>
      <c r="G3802" s="3"/>
      <c r="H3802" s="3"/>
      <c r="I3802" s="3"/>
      <c r="J3802" s="3"/>
      <c r="K3802" s="3"/>
      <c r="L3802" s="3"/>
      <c r="M3802" s="3"/>
      <c r="N3802" s="3"/>
    </row>
    <row r="3803" spans="1:14" ht="16.5" customHeight="1">
      <c r="A3803" s="3"/>
      <c r="B3803" s="3"/>
      <c r="C3803" s="3"/>
      <c r="D3803" s="3"/>
      <c r="E3803" s="3"/>
      <c r="F3803" s="3"/>
      <c r="G3803" s="3"/>
      <c r="H3803" s="3"/>
      <c r="I3803" s="3"/>
      <c r="J3803" s="3"/>
      <c r="K3803" s="3"/>
      <c r="L3803" s="3"/>
      <c r="M3803" s="3"/>
      <c r="N3803" s="3"/>
    </row>
    <row r="3804" spans="1:14" ht="16.5" customHeight="1">
      <c r="A3804" s="3"/>
      <c r="B3804" s="3"/>
      <c r="C3804" s="3"/>
      <c r="D3804" s="3"/>
      <c r="E3804" s="3"/>
      <c r="F3804" s="3"/>
      <c r="G3804" s="3"/>
      <c r="H3804" s="3"/>
      <c r="I3804" s="3"/>
      <c r="J3804" s="3"/>
      <c r="K3804" s="3"/>
      <c r="L3804" s="3"/>
      <c r="M3804" s="3"/>
      <c r="N3804" s="3"/>
    </row>
    <row r="3805" spans="1:14" ht="16.5" customHeight="1">
      <c r="A3805" s="3"/>
      <c r="B3805" s="3"/>
      <c r="C3805" s="3"/>
      <c r="D3805" s="3"/>
      <c r="E3805" s="3"/>
      <c r="F3805" s="3"/>
      <c r="G3805" s="3"/>
      <c r="H3805" s="3"/>
      <c r="I3805" s="3"/>
      <c r="J3805" s="3"/>
      <c r="K3805" s="3"/>
      <c r="L3805" s="3"/>
      <c r="M3805" s="3"/>
      <c r="N3805" s="3"/>
    </row>
    <row r="3806" spans="1:14" ht="16.5" customHeight="1">
      <c r="A3806" s="3"/>
      <c r="B3806" s="3"/>
      <c r="C3806" s="3"/>
      <c r="D3806" s="3"/>
      <c r="E3806" s="3"/>
      <c r="F3806" s="3"/>
      <c r="G3806" s="3"/>
      <c r="H3806" s="3"/>
      <c r="I3806" s="3"/>
      <c r="J3806" s="3"/>
      <c r="K3806" s="3"/>
      <c r="L3806" s="3"/>
      <c r="M3806" s="3"/>
      <c r="N3806" s="3"/>
    </row>
    <row r="3807" spans="1:14" ht="16.5" customHeight="1">
      <c r="A3807" s="3"/>
      <c r="B3807" s="3"/>
      <c r="C3807" s="3"/>
      <c r="D3807" s="3"/>
      <c r="E3807" s="3"/>
      <c r="F3807" s="3"/>
      <c r="G3807" s="3"/>
      <c r="H3807" s="3"/>
      <c r="I3807" s="3"/>
      <c r="J3807" s="3"/>
      <c r="K3807" s="3"/>
      <c r="L3807" s="3"/>
      <c r="M3807" s="3"/>
      <c r="N3807" s="3"/>
    </row>
    <row r="3808" spans="1:14" ht="16.5" customHeight="1">
      <c r="A3808" s="3"/>
      <c r="B3808" s="3"/>
      <c r="C3808" s="3"/>
      <c r="D3808" s="3"/>
      <c r="E3808" s="3"/>
      <c r="F3808" s="3"/>
      <c r="G3808" s="3"/>
      <c r="H3808" s="3"/>
      <c r="I3808" s="3"/>
      <c r="J3808" s="3"/>
      <c r="K3808" s="3"/>
      <c r="L3808" s="3"/>
      <c r="M3808" s="3"/>
      <c r="N3808" s="3"/>
    </row>
    <row r="3809" spans="1:14" ht="16.5" customHeight="1">
      <c r="A3809" s="3"/>
      <c r="B3809" s="3"/>
      <c r="C3809" s="3"/>
      <c r="D3809" s="3"/>
      <c r="E3809" s="3"/>
      <c r="F3809" s="3"/>
      <c r="G3809" s="3"/>
      <c r="H3809" s="3"/>
      <c r="I3809" s="3"/>
      <c r="J3809" s="3"/>
      <c r="K3809" s="3"/>
      <c r="L3809" s="3"/>
      <c r="M3809" s="3"/>
      <c r="N3809" s="3"/>
    </row>
    <row r="3810" spans="1:14" ht="16.5" customHeight="1">
      <c r="A3810" s="3"/>
      <c r="C3810" s="3"/>
      <c r="D3810" s="3"/>
      <c r="E3810" s="3"/>
      <c r="F3810" s="3"/>
      <c r="G3810" s="3"/>
      <c r="H3810" s="3"/>
      <c r="I3810" s="3"/>
      <c r="J3810" s="3"/>
      <c r="K3810" s="3"/>
      <c r="L3810" s="3"/>
      <c r="M3810" s="3"/>
      <c r="N3810" s="3"/>
    </row>
    <row r="3811" spans="1:14" ht="16.5" customHeight="1">
      <c r="A3811" s="3"/>
      <c r="C3811" s="3"/>
      <c r="D3811" s="3"/>
      <c r="E3811" s="3"/>
      <c r="F3811" s="3"/>
      <c r="G3811" s="3"/>
      <c r="H3811" s="3"/>
      <c r="I3811" s="3"/>
      <c r="J3811" s="3"/>
      <c r="K3811" s="3"/>
      <c r="L3811" s="3"/>
      <c r="M3811" s="3"/>
      <c r="N3811" s="3"/>
    </row>
    <row r="3812" spans="1:14" ht="16.5" customHeight="1">
      <c r="A3812" s="3"/>
      <c r="C3812" s="3"/>
      <c r="D3812" s="3"/>
      <c r="E3812" s="3"/>
      <c r="F3812" s="3"/>
      <c r="G3812" s="3"/>
      <c r="H3812" s="3"/>
      <c r="I3812" s="3"/>
      <c r="J3812" s="3"/>
      <c r="K3812" s="3"/>
      <c r="L3812" s="3"/>
      <c r="M3812" s="3"/>
      <c r="N3812" s="3"/>
    </row>
    <row r="3813" spans="1:14" ht="16.5" customHeight="1">
      <c r="A3813" s="3"/>
      <c r="C3813" s="3"/>
      <c r="D3813" s="3"/>
      <c r="E3813" s="3"/>
      <c r="F3813" s="3"/>
      <c r="G3813" s="3"/>
      <c r="H3813" s="3"/>
      <c r="I3813" s="3"/>
      <c r="J3813" s="3"/>
      <c r="K3813" s="3"/>
      <c r="L3813" s="3"/>
      <c r="M3813" s="3"/>
      <c r="N3813" s="3"/>
    </row>
    <row r="3814" spans="1:14" ht="16.5" customHeight="1">
      <c r="A3814" s="3"/>
      <c r="C3814" s="3"/>
      <c r="D3814" s="3"/>
      <c r="E3814" s="3"/>
      <c r="F3814" s="3"/>
      <c r="G3814" s="3"/>
      <c r="H3814" s="3"/>
      <c r="I3814" s="3"/>
      <c r="J3814" s="3"/>
      <c r="K3814" s="3"/>
      <c r="L3814" s="3"/>
      <c r="M3814" s="3"/>
      <c r="N3814" s="3"/>
    </row>
    <row r="3815" spans="1:14" ht="16.5" customHeight="1">
      <c r="A3815" s="3"/>
      <c r="C3815" s="3"/>
      <c r="D3815" s="3"/>
      <c r="E3815" s="3"/>
      <c r="F3815" s="3"/>
      <c r="G3815" s="3"/>
      <c r="H3815" s="3"/>
      <c r="I3815" s="3"/>
      <c r="J3815" s="3"/>
      <c r="K3815" s="3"/>
      <c r="L3815" s="3"/>
      <c r="M3815" s="3"/>
      <c r="N3815" s="3"/>
    </row>
    <row r="3816" spans="1:14" ht="16.5" customHeight="1">
      <c r="A3816" s="3"/>
      <c r="C3816" s="3"/>
      <c r="D3816" s="3"/>
      <c r="E3816" s="3"/>
      <c r="F3816" s="3"/>
      <c r="G3816" s="3"/>
      <c r="H3816" s="3"/>
      <c r="I3816" s="3"/>
      <c r="J3816" s="3"/>
      <c r="K3816" s="3"/>
      <c r="L3816" s="3"/>
      <c r="M3816" s="3"/>
      <c r="N3816" s="3"/>
    </row>
    <row r="3817" spans="1:14" ht="16.5" customHeight="1">
      <c r="A3817" s="3"/>
      <c r="C3817" s="3"/>
      <c r="D3817" s="3"/>
      <c r="E3817" s="3"/>
      <c r="F3817" s="3"/>
      <c r="G3817" s="3"/>
      <c r="H3817" s="3"/>
      <c r="I3817" s="3"/>
      <c r="J3817" s="3"/>
      <c r="K3817" s="3"/>
      <c r="L3817" s="3"/>
      <c r="M3817" s="3"/>
      <c r="N3817" s="3"/>
    </row>
    <row r="3818" spans="1:14" ht="16.5" customHeight="1">
      <c r="A3818" s="3"/>
      <c r="C3818" s="3"/>
      <c r="D3818" s="3"/>
      <c r="E3818" s="3"/>
      <c r="F3818" s="3"/>
      <c r="G3818" s="3"/>
      <c r="H3818" s="3"/>
      <c r="I3818" s="3"/>
      <c r="J3818" s="3"/>
      <c r="K3818" s="3"/>
      <c r="L3818" s="3"/>
      <c r="M3818" s="3"/>
      <c r="N3818" s="3"/>
    </row>
    <row r="3819" spans="1:14" ht="16.5" customHeight="1">
      <c r="A3819" s="3"/>
      <c r="C3819" s="3"/>
      <c r="D3819" s="3"/>
      <c r="E3819" s="3"/>
      <c r="F3819" s="3"/>
      <c r="G3819" s="3"/>
      <c r="H3819" s="3"/>
      <c r="I3819" s="3"/>
      <c r="J3819" s="3"/>
      <c r="K3819" s="3"/>
      <c r="L3819" s="3"/>
      <c r="M3819" s="3"/>
      <c r="N3819" s="3"/>
    </row>
    <row r="3820" spans="1:14" ht="16.5" customHeight="1">
      <c r="A3820" s="3"/>
      <c r="C3820" s="3"/>
      <c r="D3820" s="3"/>
      <c r="E3820" s="3"/>
      <c r="F3820" s="3"/>
      <c r="G3820" s="3"/>
      <c r="H3820" s="3"/>
      <c r="I3820" s="3"/>
      <c r="J3820" s="3"/>
      <c r="K3820" s="3"/>
      <c r="L3820" s="3"/>
      <c r="M3820" s="3"/>
      <c r="N3820" s="3"/>
    </row>
    <row r="3821" spans="1:14" ht="16.5" customHeight="1">
      <c r="A3821" s="3"/>
      <c r="C3821" s="3"/>
      <c r="D3821" s="3"/>
      <c r="E3821" s="3"/>
      <c r="F3821" s="3"/>
      <c r="G3821" s="3"/>
      <c r="H3821" s="3"/>
      <c r="I3821" s="3"/>
      <c r="J3821" s="3"/>
      <c r="K3821" s="3"/>
      <c r="L3821" s="3"/>
      <c r="M3821" s="3"/>
      <c r="N3821" s="3"/>
    </row>
    <row r="3822" spans="1:14" ht="16.5" customHeight="1">
      <c r="A3822" s="3"/>
      <c r="C3822" s="3"/>
      <c r="D3822" s="3"/>
      <c r="E3822" s="3"/>
      <c r="F3822" s="3"/>
      <c r="G3822" s="3"/>
      <c r="H3822" s="3"/>
      <c r="I3822" s="3"/>
      <c r="J3822" s="3"/>
      <c r="K3822" s="3"/>
      <c r="L3822" s="3"/>
      <c r="M3822" s="3"/>
      <c r="N3822" s="3"/>
    </row>
    <row r="3823" spans="1:14" ht="16.5" customHeight="1">
      <c r="A3823" s="3"/>
      <c r="C3823" s="3"/>
      <c r="D3823" s="3"/>
      <c r="E3823" s="3"/>
      <c r="F3823" s="3"/>
      <c r="G3823" s="3"/>
      <c r="H3823" s="3"/>
      <c r="I3823" s="3"/>
      <c r="J3823" s="3"/>
      <c r="K3823" s="3"/>
      <c r="L3823" s="3"/>
      <c r="M3823" s="3"/>
      <c r="N3823" s="3"/>
    </row>
    <row r="3824" spans="1:14" ht="16.5" customHeight="1">
      <c r="A3824" s="3"/>
      <c r="C3824" s="3"/>
      <c r="D3824" s="3"/>
      <c r="E3824" s="3"/>
      <c r="F3824" s="3"/>
      <c r="G3824" s="3"/>
      <c r="H3824" s="3"/>
      <c r="I3824" s="3"/>
      <c r="J3824" s="3"/>
      <c r="K3824" s="3"/>
      <c r="L3824" s="3"/>
      <c r="M3824" s="3"/>
      <c r="N3824" s="3"/>
    </row>
  </sheetData>
  <mergeCells count="6">
    <mergeCell ref="A2:N2"/>
    <mergeCell ref="A22:N22"/>
    <mergeCell ref="A1:N1"/>
    <mergeCell ref="A3:N4"/>
    <mergeCell ref="A23:N24"/>
    <mergeCell ref="A21:N21"/>
  </mergeCells>
  <pageMargins left="1.06" right="0.511811024" top="0.78740157499999996" bottom="0.78740157499999996" header="0.31496062000000002" footer="0.31496062000000002"/>
  <pageSetup paperSize="9" scale="82" orientation="landscape" r:id="rId1"/>
  <rowBreaks count="1" manualBreakCount="1">
    <brk id="19" max="16383" man="1"/>
  </rowBreaks>
  <colBreaks count="1" manualBreakCount="1">
    <brk id="14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8"/>
  <dimension ref="A1:D3783"/>
  <sheetViews>
    <sheetView topLeftCell="A13" workbookViewId="0">
      <selection sqref="A1:N1"/>
    </sheetView>
  </sheetViews>
  <sheetFormatPr defaultColWidth="37.7109375" defaultRowHeight="16.5" customHeight="1"/>
  <cols>
    <col min="1" max="1" width="58.7109375" style="7" customWidth="1"/>
    <col min="2" max="2" width="14.7109375" style="7" customWidth="1"/>
    <col min="3" max="4" width="20.42578125" style="7" customWidth="1"/>
    <col min="5" max="5" width="17.42578125" style="3" customWidth="1"/>
    <col min="6" max="16384" width="37.7109375" style="3"/>
  </cols>
  <sheetData>
    <row r="1" spans="1:4" ht="47.25" customHeight="1">
      <c r="A1" s="336" t="s">
        <v>42</v>
      </c>
      <c r="B1" s="337"/>
      <c r="C1" s="337"/>
      <c r="D1" s="337"/>
    </row>
    <row r="2" spans="1:4" ht="16.5" customHeight="1" thickBot="1">
      <c r="A2" s="320"/>
      <c r="B2" s="321"/>
      <c r="C2" s="3"/>
      <c r="D2" s="3"/>
    </row>
    <row r="3" spans="1:4" ht="36" customHeight="1" thickBot="1">
      <c r="A3" s="4" t="s">
        <v>39</v>
      </c>
      <c r="B3" s="15">
        <v>40969</v>
      </c>
      <c r="C3" s="16" t="s">
        <v>41</v>
      </c>
      <c r="D3" s="16" t="s">
        <v>46</v>
      </c>
    </row>
    <row r="4" spans="1:4" ht="22.5" customHeight="1">
      <c r="A4" s="14" t="s">
        <v>30</v>
      </c>
      <c r="B4" s="17">
        <v>1E-3</v>
      </c>
      <c r="C4" s="19">
        <f>0.157503</f>
        <v>0.157503</v>
      </c>
      <c r="D4" s="17">
        <f>B4*C4</f>
        <v>1.57503E-4</v>
      </c>
    </row>
    <row r="5" spans="1:4" ht="22.5" customHeight="1">
      <c r="A5" s="23" t="s">
        <v>44</v>
      </c>
      <c r="B5" s="9" t="e">
        <f>'EVOL. INSUMOS'!#REF!</f>
        <v>#REF!</v>
      </c>
      <c r="C5" s="19">
        <f>0.005657</f>
        <v>5.6569999999999997E-3</v>
      </c>
      <c r="D5" s="19" t="e">
        <f t="shared" ref="D5:D14" si="0">B5*C5</f>
        <v>#REF!</v>
      </c>
    </row>
    <row r="6" spans="1:4" ht="22.5" customHeight="1">
      <c r="A6" s="23" t="s">
        <v>6</v>
      </c>
      <c r="B6" s="9" t="e">
        <f>'EVOL. INSUMOS'!#REF!</f>
        <v>#REF!</v>
      </c>
      <c r="C6" s="19">
        <f>0.063442</f>
        <v>6.3441999999999998E-2</v>
      </c>
      <c r="D6" s="19" t="e">
        <f t="shared" si="0"/>
        <v>#REF!</v>
      </c>
    </row>
    <row r="7" spans="1:4" ht="22.5" customHeight="1">
      <c r="A7" s="23" t="s">
        <v>8</v>
      </c>
      <c r="B7" s="9" t="e">
        <f>'EVOL. INSUMOS'!#REF!</f>
        <v>#REF!</v>
      </c>
      <c r="C7" s="19">
        <f>0.254111</f>
        <v>0.25411099999999998</v>
      </c>
      <c r="D7" s="19" t="e">
        <f t="shared" si="0"/>
        <v>#REF!</v>
      </c>
    </row>
    <row r="8" spans="1:4" ht="22.5" customHeight="1">
      <c r="A8" s="23" t="s">
        <v>33</v>
      </c>
      <c r="B8" s="9" t="e">
        <f>'EVOL. INSUMOS'!#REF!</f>
        <v>#REF!</v>
      </c>
      <c r="C8" s="19">
        <f>0.332312</f>
        <v>0.332312</v>
      </c>
      <c r="D8" s="19" t="e">
        <f t="shared" si="0"/>
        <v>#REF!</v>
      </c>
    </row>
    <row r="9" spans="1:4" ht="22.5" customHeight="1">
      <c r="A9" s="23" t="s">
        <v>32</v>
      </c>
      <c r="B9" s="9" t="e">
        <f>'EVOL. INSUMOS'!#REF!</f>
        <v>#REF!</v>
      </c>
      <c r="C9" s="19">
        <f>0.030914</f>
        <v>3.0914000000000001E-2</v>
      </c>
      <c r="D9" s="19" t="e">
        <f t="shared" si="0"/>
        <v>#REF!</v>
      </c>
    </row>
    <row r="10" spans="1:4" ht="22.5" customHeight="1">
      <c r="A10" s="23" t="s">
        <v>43</v>
      </c>
      <c r="B10" s="9" t="e">
        <f>'EVOL. INSUMOS'!#REF!</f>
        <v>#REF!</v>
      </c>
      <c r="C10" s="19">
        <f>0.030446</f>
        <v>3.0446000000000001E-2</v>
      </c>
      <c r="D10" s="19" t="e">
        <f t="shared" si="0"/>
        <v>#REF!</v>
      </c>
    </row>
    <row r="11" spans="1:4" ht="22.5" customHeight="1">
      <c r="A11" s="23" t="s">
        <v>36</v>
      </c>
      <c r="B11" s="9" t="e">
        <f>'EVOL. INSUMOS'!#REF!</f>
        <v>#REF!</v>
      </c>
      <c r="C11" s="19">
        <f>0.012535</f>
        <v>1.2534999999999999E-2</v>
      </c>
      <c r="D11" s="19" t="e">
        <f t="shared" si="0"/>
        <v>#REF!</v>
      </c>
    </row>
    <row r="12" spans="1:4" ht="22.5" customHeight="1">
      <c r="A12" s="14" t="s">
        <v>29</v>
      </c>
      <c r="B12" s="9" t="e">
        <f>'EVOL. INSUMOS'!#REF!</f>
        <v>#REF!</v>
      </c>
      <c r="C12" s="19">
        <f>0.076066</f>
        <v>7.6065999999999995E-2</v>
      </c>
      <c r="D12" s="19" t="e">
        <f t="shared" si="0"/>
        <v>#REF!</v>
      </c>
    </row>
    <row r="13" spans="1:4" ht="22.5" customHeight="1">
      <c r="A13" s="24" t="s">
        <v>37</v>
      </c>
      <c r="B13" s="9" t="e">
        <f>'EVOL. INSUMOS'!#REF!</f>
        <v>#REF!</v>
      </c>
      <c r="C13" s="19">
        <f>0.036515</f>
        <v>3.6514999999999999E-2</v>
      </c>
      <c r="D13" s="19" t="e">
        <f>B13*C13</f>
        <v>#REF!</v>
      </c>
    </row>
    <row r="14" spans="1:4" ht="22.5" customHeight="1" thickBot="1">
      <c r="A14" s="24" t="s">
        <v>40</v>
      </c>
      <c r="B14" s="9" t="e">
        <f>'EVOL. INSUMOS'!#REF!</f>
        <v>#REF!</v>
      </c>
      <c r="C14" s="20">
        <v>0</v>
      </c>
      <c r="D14" s="19" t="e">
        <f t="shared" si="0"/>
        <v>#REF!</v>
      </c>
    </row>
    <row r="15" spans="1:4" ht="22.5" customHeight="1" thickBot="1">
      <c r="A15" s="21"/>
      <c r="B15" s="25"/>
      <c r="C15" s="22">
        <f>SUM(C4:C14)</f>
        <v>0.99950099999999975</v>
      </c>
      <c r="D15" s="22" t="e">
        <f>SUM(D4:D14)</f>
        <v>#REF!</v>
      </c>
    </row>
    <row r="16" spans="1:4" ht="16.5" customHeight="1">
      <c r="A16" s="3"/>
      <c r="B16" s="3"/>
      <c r="C16" s="3"/>
    </row>
    <row r="17" spans="1:4" ht="22.5" customHeight="1">
      <c r="A17" s="18" t="s">
        <v>45</v>
      </c>
      <c r="B17" s="334" t="e">
        <f>(B4*C4)+(B5*C5)+(B6*C6)+(B7*C7)+(B8*C8)+(B9*C9)+(B10*C10)+(B11*C11)+(B12*C12)+(B13*C13)+(B14*C14)</f>
        <v>#REF!</v>
      </c>
      <c r="C17" s="335"/>
      <c r="D17" s="3"/>
    </row>
    <row r="18" spans="1:4" ht="16.5" customHeight="1">
      <c r="A18" s="3"/>
      <c r="B18" s="3"/>
      <c r="C18" s="3"/>
      <c r="D18" s="3"/>
    </row>
    <row r="19" spans="1:4" ht="16.5" customHeight="1">
      <c r="A19" s="3"/>
      <c r="B19" s="3"/>
      <c r="C19" s="3"/>
      <c r="D19" s="3"/>
    </row>
    <row r="20" spans="1:4" s="13" customFormat="1" ht="22.5" customHeight="1">
      <c r="A20" s="10" t="s">
        <v>18</v>
      </c>
      <c r="B20" s="10"/>
      <c r="C20" s="10"/>
      <c r="D20" s="10"/>
    </row>
    <row r="21" spans="1:4" ht="16.5" customHeight="1">
      <c r="A21" s="3"/>
      <c r="B21" s="3"/>
      <c r="C21" s="3"/>
      <c r="D21" s="3"/>
    </row>
    <row r="22" spans="1:4" ht="16.5" customHeight="1">
      <c r="A22" s="3"/>
      <c r="B22" s="3"/>
      <c r="C22" s="3"/>
      <c r="D22" s="3"/>
    </row>
    <row r="23" spans="1:4" ht="16.5" customHeight="1">
      <c r="A23" s="3"/>
      <c r="B23" s="3"/>
      <c r="C23" s="3"/>
      <c r="D23" s="3"/>
    </row>
    <row r="24" spans="1:4" ht="16.5" customHeight="1">
      <c r="A24" s="3"/>
      <c r="B24" s="3"/>
      <c r="C24" s="3"/>
      <c r="D24" s="3"/>
    </row>
    <row r="25" spans="1:4" ht="16.5" customHeight="1">
      <c r="A25" s="3"/>
      <c r="B25" s="3"/>
      <c r="C25" s="3"/>
      <c r="D25" s="3"/>
    </row>
    <row r="26" spans="1:4" ht="16.5" customHeight="1">
      <c r="A26" s="3"/>
      <c r="B26" s="3"/>
      <c r="C26" s="3"/>
      <c r="D26" s="3"/>
    </row>
    <row r="27" spans="1:4" ht="16.5" customHeight="1">
      <c r="A27" s="3"/>
      <c r="B27" s="3"/>
      <c r="C27" s="3"/>
      <c r="D27" s="3"/>
    </row>
    <row r="28" spans="1:4" ht="16.5" customHeight="1">
      <c r="A28" s="3"/>
      <c r="B28" s="3"/>
      <c r="C28" s="3"/>
      <c r="D28" s="3"/>
    </row>
    <row r="29" spans="1:4" ht="16.5" customHeight="1">
      <c r="A29" s="3"/>
      <c r="B29" s="3"/>
      <c r="C29" s="3"/>
      <c r="D29" s="3"/>
    </row>
    <row r="30" spans="1:4" ht="16.5" customHeight="1">
      <c r="A30" s="3"/>
      <c r="B30" s="3"/>
      <c r="C30" s="3"/>
      <c r="D30" s="3"/>
    </row>
    <row r="31" spans="1:4" ht="16.5" customHeight="1">
      <c r="A31" s="3"/>
      <c r="B31" s="3"/>
      <c r="C31" s="3"/>
      <c r="D31" s="3"/>
    </row>
    <row r="32" spans="1:4" ht="16.5" customHeight="1">
      <c r="A32" s="3"/>
      <c r="B32" s="3"/>
      <c r="C32" s="3"/>
      <c r="D32" s="3"/>
    </row>
    <row r="33" spans="1:4" ht="16.5" customHeight="1">
      <c r="A33" s="3"/>
      <c r="B33" s="3"/>
      <c r="C33" s="3"/>
      <c r="D33" s="3"/>
    </row>
    <row r="34" spans="1:4" ht="16.5" customHeight="1">
      <c r="A34" s="3"/>
      <c r="B34" s="3"/>
      <c r="C34" s="3"/>
      <c r="D34" s="3"/>
    </row>
    <row r="35" spans="1:4" ht="16.5" customHeight="1">
      <c r="A35" s="3"/>
      <c r="B35" s="3"/>
      <c r="C35" s="3"/>
      <c r="D35" s="3"/>
    </row>
    <row r="36" spans="1:4" ht="16.5" customHeight="1">
      <c r="A36" s="3"/>
      <c r="B36" s="3"/>
      <c r="C36" s="3"/>
      <c r="D36" s="3"/>
    </row>
    <row r="37" spans="1:4" ht="16.5" customHeight="1">
      <c r="A37" s="3"/>
      <c r="B37" s="3"/>
      <c r="C37" s="3"/>
      <c r="D37" s="3"/>
    </row>
    <row r="38" spans="1:4" ht="16.5" customHeight="1">
      <c r="A38" s="3"/>
      <c r="B38" s="3"/>
      <c r="C38" s="3"/>
      <c r="D38" s="3"/>
    </row>
    <row r="39" spans="1:4" ht="16.5" customHeight="1">
      <c r="A39" s="3"/>
      <c r="B39" s="3"/>
      <c r="C39" s="3"/>
      <c r="D39" s="3"/>
    </row>
    <row r="40" spans="1:4" ht="16.5" customHeight="1">
      <c r="A40" s="3"/>
      <c r="B40" s="3"/>
      <c r="C40" s="3"/>
      <c r="D40" s="3"/>
    </row>
    <row r="41" spans="1:4" ht="16.5" customHeight="1">
      <c r="A41" s="3"/>
      <c r="B41" s="3"/>
      <c r="C41" s="3"/>
      <c r="D41" s="3"/>
    </row>
    <row r="42" spans="1:4" ht="16.5" customHeight="1">
      <c r="A42" s="3"/>
      <c r="B42" s="3"/>
      <c r="C42" s="3"/>
      <c r="D42" s="3"/>
    </row>
    <row r="43" spans="1:4" ht="16.5" customHeight="1">
      <c r="A43" s="3"/>
      <c r="B43" s="3"/>
      <c r="C43" s="3"/>
      <c r="D43" s="3"/>
    </row>
    <row r="44" spans="1:4" ht="16.5" customHeight="1">
      <c r="A44" s="3"/>
      <c r="B44" s="3"/>
      <c r="C44" s="3"/>
      <c r="D44" s="3"/>
    </row>
    <row r="45" spans="1:4" ht="16.5" customHeight="1">
      <c r="A45" s="3"/>
      <c r="B45" s="3"/>
      <c r="C45" s="3"/>
      <c r="D45" s="3"/>
    </row>
    <row r="46" spans="1:4" ht="16.5" customHeight="1">
      <c r="A46" s="3"/>
      <c r="B46" s="3"/>
      <c r="C46" s="3"/>
      <c r="D46" s="3"/>
    </row>
    <row r="47" spans="1:4" ht="16.5" customHeight="1">
      <c r="A47" s="3"/>
      <c r="B47" s="3"/>
      <c r="C47" s="3"/>
      <c r="D47" s="3"/>
    </row>
    <row r="48" spans="1:4" ht="16.5" customHeight="1">
      <c r="A48" s="3"/>
      <c r="B48" s="3"/>
      <c r="C48" s="3"/>
      <c r="D48" s="3"/>
    </row>
    <row r="49" spans="1:4" ht="16.5" customHeight="1">
      <c r="A49" s="3"/>
      <c r="B49" s="3"/>
      <c r="C49" s="3"/>
      <c r="D49" s="3"/>
    </row>
    <row r="50" spans="1:4" ht="16.5" customHeight="1">
      <c r="A50" s="3"/>
      <c r="B50" s="3"/>
      <c r="C50" s="3"/>
      <c r="D50" s="3"/>
    </row>
    <row r="51" spans="1:4" ht="16.5" customHeight="1">
      <c r="A51" s="3"/>
      <c r="B51" s="3"/>
      <c r="C51" s="3"/>
      <c r="D51" s="3"/>
    </row>
    <row r="52" spans="1:4" ht="16.5" customHeight="1">
      <c r="A52" s="3"/>
      <c r="B52" s="3"/>
      <c r="C52" s="3"/>
      <c r="D52" s="3"/>
    </row>
    <row r="53" spans="1:4" ht="16.5" customHeight="1">
      <c r="A53" s="3"/>
      <c r="B53" s="3"/>
      <c r="C53" s="3"/>
      <c r="D53" s="3"/>
    </row>
    <row r="54" spans="1:4" ht="16.5" customHeight="1">
      <c r="A54" s="3"/>
      <c r="B54" s="3"/>
      <c r="C54" s="3"/>
      <c r="D54" s="3"/>
    </row>
    <row r="55" spans="1:4" ht="16.5" customHeight="1">
      <c r="A55" s="3"/>
      <c r="B55" s="3"/>
      <c r="C55" s="3"/>
      <c r="D55" s="3"/>
    </row>
    <row r="56" spans="1:4" ht="16.5" customHeight="1">
      <c r="A56" s="3"/>
      <c r="B56" s="3"/>
      <c r="C56" s="3"/>
      <c r="D56" s="3"/>
    </row>
    <row r="57" spans="1:4" ht="16.5" customHeight="1">
      <c r="A57" s="3"/>
      <c r="B57" s="3"/>
      <c r="C57" s="3"/>
      <c r="D57" s="3"/>
    </row>
    <row r="58" spans="1:4" ht="16.5" customHeight="1">
      <c r="A58" s="3"/>
      <c r="B58" s="3"/>
      <c r="C58" s="3"/>
      <c r="D58" s="3"/>
    </row>
    <row r="59" spans="1:4" ht="16.5" customHeight="1">
      <c r="A59" s="3"/>
      <c r="B59" s="3"/>
      <c r="C59" s="3"/>
      <c r="D59" s="3"/>
    </row>
    <row r="60" spans="1:4" ht="16.5" customHeight="1">
      <c r="A60" s="3"/>
      <c r="B60" s="3"/>
      <c r="C60" s="3"/>
      <c r="D60" s="3"/>
    </row>
    <row r="61" spans="1:4" ht="16.5" customHeight="1">
      <c r="A61" s="3"/>
      <c r="B61" s="3"/>
      <c r="C61" s="3"/>
      <c r="D61" s="3"/>
    </row>
    <row r="62" spans="1:4" ht="16.5" customHeight="1">
      <c r="A62" s="3"/>
      <c r="B62" s="3"/>
      <c r="C62" s="3"/>
      <c r="D62" s="3"/>
    </row>
    <row r="63" spans="1:4" ht="16.5" customHeight="1">
      <c r="A63" s="3"/>
      <c r="B63" s="3"/>
      <c r="C63" s="3"/>
      <c r="D63" s="3"/>
    </row>
    <row r="64" spans="1:4" ht="16.5" customHeight="1">
      <c r="A64" s="3"/>
      <c r="B64" s="3"/>
      <c r="C64" s="3"/>
      <c r="D64" s="3"/>
    </row>
    <row r="65" spans="1:4" ht="16.5" customHeight="1">
      <c r="A65" s="3"/>
      <c r="B65" s="3"/>
      <c r="C65" s="3"/>
      <c r="D65" s="3"/>
    </row>
    <row r="66" spans="1:4" ht="16.5" customHeight="1">
      <c r="A66" s="3"/>
      <c r="B66" s="3"/>
      <c r="C66" s="3"/>
      <c r="D66" s="3"/>
    </row>
    <row r="67" spans="1:4" ht="16.5" customHeight="1">
      <c r="A67" s="3"/>
      <c r="B67" s="3"/>
      <c r="C67" s="3"/>
      <c r="D67" s="3"/>
    </row>
    <row r="68" spans="1:4" ht="16.5" customHeight="1">
      <c r="A68" s="3"/>
      <c r="B68" s="3"/>
      <c r="C68" s="3"/>
      <c r="D68" s="3"/>
    </row>
    <row r="69" spans="1:4" ht="16.5" customHeight="1">
      <c r="A69" s="3"/>
      <c r="B69" s="3"/>
      <c r="C69" s="3"/>
      <c r="D69" s="3"/>
    </row>
    <row r="70" spans="1:4" ht="16.5" customHeight="1">
      <c r="A70" s="3"/>
      <c r="B70" s="3"/>
      <c r="C70" s="3"/>
      <c r="D70" s="3"/>
    </row>
    <row r="71" spans="1:4" ht="16.5" customHeight="1">
      <c r="A71" s="3"/>
      <c r="B71" s="3"/>
      <c r="C71" s="3"/>
      <c r="D71" s="3"/>
    </row>
    <row r="72" spans="1:4" ht="16.5" customHeight="1">
      <c r="A72" s="3"/>
      <c r="B72" s="3"/>
      <c r="C72" s="3"/>
      <c r="D72" s="3"/>
    </row>
    <row r="73" spans="1:4" ht="16.5" customHeight="1">
      <c r="A73" s="3"/>
      <c r="B73" s="3"/>
      <c r="C73" s="3"/>
      <c r="D73" s="3"/>
    </row>
    <row r="74" spans="1:4" ht="16.5" customHeight="1">
      <c r="A74" s="3"/>
      <c r="B74" s="3"/>
      <c r="C74" s="3"/>
      <c r="D74" s="3"/>
    </row>
    <row r="75" spans="1:4" ht="16.5" customHeight="1">
      <c r="A75" s="3"/>
      <c r="B75" s="3"/>
      <c r="C75" s="3"/>
      <c r="D75" s="3"/>
    </row>
    <row r="76" spans="1:4" ht="16.5" customHeight="1">
      <c r="A76" s="3"/>
      <c r="B76" s="3"/>
      <c r="C76" s="3"/>
      <c r="D76" s="3"/>
    </row>
    <row r="77" spans="1:4" ht="16.5" customHeight="1">
      <c r="A77" s="3"/>
      <c r="B77" s="3"/>
      <c r="C77" s="3"/>
      <c r="D77" s="3"/>
    </row>
    <row r="78" spans="1:4" ht="16.5" customHeight="1">
      <c r="A78" s="3"/>
      <c r="B78" s="3"/>
      <c r="C78" s="3"/>
      <c r="D78" s="3"/>
    </row>
    <row r="79" spans="1:4" ht="16.5" customHeight="1">
      <c r="A79" s="3"/>
      <c r="B79" s="3"/>
      <c r="C79" s="3"/>
      <c r="D79" s="3"/>
    </row>
    <row r="80" spans="1:4" ht="16.5" customHeight="1">
      <c r="A80" s="3"/>
      <c r="B80" s="3"/>
      <c r="C80" s="3"/>
      <c r="D80" s="3"/>
    </row>
    <row r="81" spans="1:4" ht="16.5" customHeight="1">
      <c r="A81" s="3"/>
      <c r="B81" s="3"/>
      <c r="C81" s="3"/>
      <c r="D81" s="3"/>
    </row>
    <row r="82" spans="1:4" ht="16.5" customHeight="1">
      <c r="A82" s="3"/>
      <c r="B82" s="3"/>
      <c r="C82" s="3"/>
      <c r="D82" s="3"/>
    </row>
    <row r="83" spans="1:4" ht="16.5" customHeight="1">
      <c r="A83" s="3"/>
      <c r="B83" s="3"/>
      <c r="C83" s="3"/>
      <c r="D83" s="3"/>
    </row>
    <row r="84" spans="1:4" ht="16.5" customHeight="1">
      <c r="A84" s="3"/>
      <c r="B84" s="3"/>
      <c r="C84" s="3"/>
      <c r="D84" s="3"/>
    </row>
    <row r="85" spans="1:4" ht="16.5" customHeight="1">
      <c r="A85" s="3"/>
      <c r="B85" s="3"/>
      <c r="C85" s="3"/>
      <c r="D85" s="3"/>
    </row>
    <row r="86" spans="1:4" ht="16.5" customHeight="1">
      <c r="A86" s="3"/>
      <c r="B86" s="3"/>
      <c r="C86" s="3"/>
      <c r="D86" s="3"/>
    </row>
    <row r="87" spans="1:4" ht="16.5" customHeight="1">
      <c r="A87" s="3"/>
      <c r="B87" s="3"/>
      <c r="C87" s="3"/>
      <c r="D87" s="3"/>
    </row>
    <row r="88" spans="1:4" ht="16.5" customHeight="1">
      <c r="A88" s="3"/>
      <c r="B88" s="3"/>
      <c r="C88" s="3"/>
      <c r="D88" s="3"/>
    </row>
    <row r="89" spans="1:4" ht="16.5" customHeight="1">
      <c r="A89" s="3"/>
      <c r="B89" s="3"/>
      <c r="C89" s="3"/>
      <c r="D89" s="3"/>
    </row>
    <row r="90" spans="1:4" ht="16.5" customHeight="1">
      <c r="A90" s="3"/>
      <c r="B90" s="3"/>
      <c r="C90" s="3"/>
      <c r="D90" s="3"/>
    </row>
    <row r="91" spans="1:4" ht="16.5" customHeight="1">
      <c r="A91" s="3"/>
      <c r="B91" s="3"/>
      <c r="C91" s="3"/>
      <c r="D91" s="3"/>
    </row>
    <row r="92" spans="1:4" ht="16.5" customHeight="1">
      <c r="A92" s="3"/>
      <c r="B92" s="3"/>
      <c r="C92" s="3"/>
      <c r="D92" s="3"/>
    </row>
    <row r="93" spans="1:4" ht="16.5" customHeight="1">
      <c r="A93" s="3"/>
      <c r="B93" s="3"/>
      <c r="C93" s="3"/>
      <c r="D93" s="3"/>
    </row>
    <row r="94" spans="1:4" ht="16.5" customHeight="1">
      <c r="A94" s="3"/>
      <c r="B94" s="3"/>
      <c r="C94" s="3"/>
      <c r="D94" s="3"/>
    </row>
    <row r="95" spans="1:4" ht="16.5" customHeight="1">
      <c r="A95" s="3"/>
      <c r="B95" s="3"/>
      <c r="C95" s="3"/>
      <c r="D95" s="3"/>
    </row>
    <row r="96" spans="1:4" ht="16.5" customHeight="1">
      <c r="A96" s="3"/>
      <c r="B96" s="3"/>
      <c r="C96" s="3"/>
      <c r="D96" s="3"/>
    </row>
    <row r="97" spans="1:4" ht="16.5" customHeight="1">
      <c r="A97" s="3"/>
      <c r="B97" s="3"/>
      <c r="C97" s="3"/>
      <c r="D97" s="3"/>
    </row>
    <row r="98" spans="1:4" ht="16.5" customHeight="1">
      <c r="A98" s="3"/>
      <c r="B98" s="3"/>
      <c r="C98" s="3"/>
      <c r="D98" s="3"/>
    </row>
    <row r="99" spans="1:4" ht="16.5" customHeight="1">
      <c r="A99" s="3"/>
      <c r="B99" s="3"/>
      <c r="C99" s="3"/>
      <c r="D99" s="3"/>
    </row>
    <row r="100" spans="1:4" ht="16.5" customHeight="1">
      <c r="A100" s="3"/>
      <c r="B100" s="3"/>
      <c r="C100" s="3"/>
      <c r="D100" s="3"/>
    </row>
    <row r="101" spans="1:4" ht="16.5" customHeight="1">
      <c r="A101" s="3"/>
      <c r="B101" s="3"/>
      <c r="C101" s="3"/>
      <c r="D101" s="3"/>
    </row>
    <row r="102" spans="1:4" ht="16.5" customHeight="1">
      <c r="A102" s="3"/>
      <c r="B102" s="3"/>
      <c r="C102" s="3"/>
      <c r="D102" s="3"/>
    </row>
    <row r="103" spans="1:4" ht="16.5" customHeight="1">
      <c r="A103" s="3"/>
      <c r="B103" s="3"/>
      <c r="C103" s="3"/>
      <c r="D103" s="3"/>
    </row>
    <row r="104" spans="1:4" ht="16.5" customHeight="1">
      <c r="A104" s="3"/>
      <c r="B104" s="3"/>
      <c r="C104" s="3"/>
      <c r="D104" s="3"/>
    </row>
    <row r="105" spans="1:4" ht="16.5" customHeight="1">
      <c r="A105" s="3"/>
      <c r="B105" s="3"/>
      <c r="C105" s="3"/>
      <c r="D105" s="3"/>
    </row>
    <row r="106" spans="1:4" ht="16.5" customHeight="1">
      <c r="A106" s="3"/>
      <c r="B106" s="3"/>
      <c r="C106" s="3"/>
      <c r="D106" s="3"/>
    </row>
    <row r="107" spans="1:4" ht="16.5" customHeight="1">
      <c r="A107" s="3"/>
      <c r="B107" s="3"/>
      <c r="C107" s="3"/>
      <c r="D107" s="3"/>
    </row>
    <row r="108" spans="1:4" ht="16.5" customHeight="1">
      <c r="A108" s="3"/>
      <c r="B108" s="3"/>
      <c r="C108" s="3"/>
      <c r="D108" s="3"/>
    </row>
    <row r="109" spans="1:4" ht="16.5" customHeight="1">
      <c r="A109" s="3"/>
      <c r="B109" s="3"/>
      <c r="C109" s="3"/>
      <c r="D109" s="3"/>
    </row>
    <row r="110" spans="1:4" ht="16.5" customHeight="1">
      <c r="A110" s="3"/>
      <c r="B110" s="3"/>
      <c r="C110" s="3"/>
      <c r="D110" s="3"/>
    </row>
    <row r="111" spans="1:4" ht="16.5" customHeight="1">
      <c r="A111" s="3"/>
      <c r="B111" s="3"/>
      <c r="C111" s="3"/>
      <c r="D111" s="3"/>
    </row>
    <row r="112" spans="1:4" ht="16.5" customHeight="1">
      <c r="A112" s="3"/>
      <c r="B112" s="3"/>
      <c r="C112" s="3"/>
      <c r="D112" s="3"/>
    </row>
    <row r="113" spans="1:4" ht="16.5" customHeight="1">
      <c r="A113" s="3"/>
      <c r="B113" s="3"/>
      <c r="C113" s="3"/>
      <c r="D113" s="3"/>
    </row>
    <row r="114" spans="1:4" ht="16.5" customHeight="1">
      <c r="A114" s="3"/>
      <c r="B114" s="3"/>
      <c r="C114" s="3"/>
      <c r="D114" s="3"/>
    </row>
    <row r="115" spans="1:4" ht="16.5" customHeight="1">
      <c r="A115" s="3"/>
      <c r="B115" s="3"/>
      <c r="C115" s="3"/>
      <c r="D115" s="3"/>
    </row>
    <row r="116" spans="1:4" ht="16.5" customHeight="1">
      <c r="A116" s="3"/>
      <c r="B116" s="3"/>
      <c r="C116" s="3"/>
      <c r="D116" s="3"/>
    </row>
    <row r="117" spans="1:4" ht="16.5" customHeight="1">
      <c r="A117" s="3"/>
      <c r="B117" s="3"/>
      <c r="C117" s="3"/>
      <c r="D117" s="3"/>
    </row>
    <row r="118" spans="1:4" ht="16.5" customHeight="1">
      <c r="A118" s="3"/>
      <c r="B118" s="3"/>
      <c r="C118" s="3"/>
      <c r="D118" s="3"/>
    </row>
    <row r="119" spans="1:4" ht="16.5" customHeight="1">
      <c r="A119" s="3"/>
      <c r="B119" s="3"/>
      <c r="C119" s="3"/>
      <c r="D119" s="3"/>
    </row>
    <row r="120" spans="1:4" ht="16.5" customHeight="1">
      <c r="A120" s="3"/>
      <c r="B120" s="3"/>
      <c r="C120" s="3"/>
      <c r="D120" s="3"/>
    </row>
    <row r="121" spans="1:4" ht="16.5" customHeight="1">
      <c r="A121" s="3"/>
      <c r="B121" s="3"/>
      <c r="C121" s="3"/>
      <c r="D121" s="3"/>
    </row>
    <row r="122" spans="1:4" ht="16.5" customHeight="1">
      <c r="A122" s="3"/>
      <c r="B122" s="3"/>
      <c r="C122" s="3"/>
      <c r="D122" s="3"/>
    </row>
    <row r="123" spans="1:4" ht="16.5" customHeight="1">
      <c r="A123" s="3"/>
      <c r="B123" s="3"/>
      <c r="C123" s="3"/>
      <c r="D123" s="3"/>
    </row>
    <row r="124" spans="1:4" ht="16.5" customHeight="1">
      <c r="A124" s="3"/>
      <c r="B124" s="3"/>
      <c r="C124" s="3"/>
      <c r="D124" s="3"/>
    </row>
    <row r="125" spans="1:4" ht="16.5" customHeight="1">
      <c r="A125" s="3"/>
      <c r="B125" s="3"/>
      <c r="C125" s="3"/>
      <c r="D125" s="3"/>
    </row>
    <row r="126" spans="1:4" ht="16.5" customHeight="1">
      <c r="A126" s="3"/>
      <c r="B126" s="3"/>
      <c r="C126" s="3"/>
      <c r="D126" s="3"/>
    </row>
    <row r="127" spans="1:4" ht="16.5" customHeight="1">
      <c r="A127" s="3"/>
      <c r="B127" s="3"/>
      <c r="C127" s="3"/>
      <c r="D127" s="3"/>
    </row>
    <row r="128" spans="1:4" ht="16.5" customHeight="1">
      <c r="A128" s="3"/>
      <c r="B128" s="3"/>
      <c r="C128" s="3"/>
      <c r="D128" s="3"/>
    </row>
    <row r="129" spans="1:4" ht="16.5" customHeight="1">
      <c r="A129" s="3"/>
      <c r="B129" s="3"/>
      <c r="C129" s="3"/>
      <c r="D129" s="3"/>
    </row>
    <row r="130" spans="1:4" ht="16.5" customHeight="1">
      <c r="A130" s="3"/>
      <c r="B130" s="3"/>
      <c r="C130" s="3"/>
      <c r="D130" s="3"/>
    </row>
    <row r="131" spans="1:4" ht="16.5" customHeight="1">
      <c r="A131" s="3"/>
      <c r="B131" s="3"/>
      <c r="C131" s="3"/>
      <c r="D131" s="3"/>
    </row>
    <row r="132" spans="1:4" ht="16.5" customHeight="1">
      <c r="A132" s="3"/>
      <c r="B132" s="3"/>
      <c r="C132" s="3"/>
      <c r="D132" s="3"/>
    </row>
    <row r="133" spans="1:4" ht="16.5" customHeight="1">
      <c r="A133" s="3"/>
      <c r="B133" s="3"/>
      <c r="C133" s="3"/>
      <c r="D133" s="3"/>
    </row>
    <row r="134" spans="1:4" ht="16.5" customHeight="1">
      <c r="A134" s="3"/>
      <c r="B134" s="3"/>
      <c r="C134" s="3"/>
      <c r="D134" s="3"/>
    </row>
    <row r="135" spans="1:4" ht="16.5" customHeight="1">
      <c r="A135" s="3"/>
      <c r="B135" s="3"/>
      <c r="C135" s="3"/>
      <c r="D135" s="3"/>
    </row>
    <row r="136" spans="1:4" ht="16.5" customHeight="1">
      <c r="A136" s="3"/>
      <c r="B136" s="3"/>
      <c r="C136" s="3"/>
      <c r="D136" s="3"/>
    </row>
    <row r="137" spans="1:4" ht="16.5" customHeight="1">
      <c r="A137" s="3"/>
      <c r="B137" s="3"/>
      <c r="C137" s="3"/>
      <c r="D137" s="3"/>
    </row>
    <row r="138" spans="1:4" ht="16.5" customHeight="1">
      <c r="A138" s="3"/>
      <c r="B138" s="3"/>
      <c r="C138" s="3"/>
      <c r="D138" s="3"/>
    </row>
    <row r="139" spans="1:4" ht="16.5" customHeight="1">
      <c r="A139" s="3"/>
      <c r="B139" s="3"/>
      <c r="C139" s="3"/>
      <c r="D139" s="3"/>
    </row>
    <row r="140" spans="1:4" ht="16.5" customHeight="1">
      <c r="A140" s="3"/>
      <c r="B140" s="3"/>
      <c r="C140" s="3"/>
      <c r="D140" s="3"/>
    </row>
    <row r="141" spans="1:4" ht="16.5" customHeight="1">
      <c r="A141" s="3"/>
      <c r="B141" s="3"/>
      <c r="C141" s="3"/>
      <c r="D141" s="3"/>
    </row>
    <row r="142" spans="1:4" ht="16.5" customHeight="1">
      <c r="A142" s="3"/>
      <c r="B142" s="3"/>
      <c r="C142" s="3"/>
      <c r="D142" s="3"/>
    </row>
    <row r="143" spans="1:4" ht="16.5" customHeight="1">
      <c r="A143" s="3"/>
      <c r="B143" s="3"/>
      <c r="C143" s="3"/>
      <c r="D143" s="3"/>
    </row>
    <row r="144" spans="1:4" ht="16.5" customHeight="1">
      <c r="A144" s="3"/>
      <c r="B144" s="3"/>
      <c r="C144" s="3"/>
      <c r="D144" s="3"/>
    </row>
    <row r="145" spans="1:4" ht="16.5" customHeight="1">
      <c r="A145" s="3"/>
      <c r="B145" s="3"/>
      <c r="C145" s="3"/>
      <c r="D145" s="3"/>
    </row>
    <row r="146" spans="1:4" ht="16.5" customHeight="1">
      <c r="A146" s="3"/>
      <c r="B146" s="3"/>
      <c r="C146" s="3"/>
      <c r="D146" s="3"/>
    </row>
    <row r="147" spans="1:4" ht="16.5" customHeight="1">
      <c r="A147" s="3"/>
      <c r="B147" s="3"/>
      <c r="C147" s="3"/>
      <c r="D147" s="3"/>
    </row>
    <row r="148" spans="1:4" ht="16.5" customHeight="1">
      <c r="A148" s="3"/>
      <c r="B148" s="3"/>
      <c r="C148" s="3"/>
      <c r="D148" s="3"/>
    </row>
    <row r="149" spans="1:4" ht="16.5" customHeight="1">
      <c r="A149" s="3"/>
      <c r="B149" s="3"/>
      <c r="C149" s="3"/>
      <c r="D149" s="3"/>
    </row>
    <row r="150" spans="1:4" ht="16.5" customHeight="1">
      <c r="A150" s="3"/>
      <c r="B150" s="3"/>
      <c r="C150" s="3"/>
      <c r="D150" s="3"/>
    </row>
    <row r="151" spans="1:4" ht="16.5" customHeight="1">
      <c r="A151" s="3"/>
      <c r="B151" s="3"/>
      <c r="C151" s="3"/>
      <c r="D151" s="3"/>
    </row>
    <row r="152" spans="1:4" ht="16.5" customHeight="1">
      <c r="A152" s="3"/>
      <c r="B152" s="3"/>
      <c r="C152" s="3"/>
      <c r="D152" s="3"/>
    </row>
    <row r="153" spans="1:4" ht="16.5" customHeight="1">
      <c r="A153" s="3"/>
      <c r="B153" s="3"/>
      <c r="C153" s="3"/>
      <c r="D153" s="3"/>
    </row>
    <row r="154" spans="1:4" ht="16.5" customHeight="1">
      <c r="A154" s="3"/>
      <c r="B154" s="3"/>
      <c r="C154" s="3"/>
      <c r="D154" s="3"/>
    </row>
    <row r="155" spans="1:4" ht="16.5" customHeight="1">
      <c r="A155" s="3"/>
      <c r="B155" s="3"/>
      <c r="C155" s="3"/>
      <c r="D155" s="3"/>
    </row>
    <row r="156" spans="1:4" ht="16.5" customHeight="1">
      <c r="A156" s="3"/>
      <c r="B156" s="3"/>
      <c r="C156" s="3"/>
      <c r="D156" s="3"/>
    </row>
    <row r="157" spans="1:4" ht="16.5" customHeight="1">
      <c r="A157" s="3"/>
      <c r="B157" s="3"/>
      <c r="C157" s="3"/>
      <c r="D157" s="3"/>
    </row>
    <row r="158" spans="1:4" ht="16.5" customHeight="1">
      <c r="A158" s="3"/>
      <c r="B158" s="3"/>
      <c r="C158" s="3"/>
      <c r="D158" s="3"/>
    </row>
    <row r="159" spans="1:4" ht="16.5" customHeight="1">
      <c r="A159" s="3"/>
      <c r="B159" s="3"/>
      <c r="C159" s="3"/>
      <c r="D159" s="3"/>
    </row>
    <row r="160" spans="1:4" ht="16.5" customHeight="1">
      <c r="A160" s="3"/>
      <c r="B160" s="3"/>
      <c r="C160" s="3"/>
      <c r="D160" s="3"/>
    </row>
    <row r="161" spans="1:4" ht="16.5" customHeight="1">
      <c r="A161" s="3"/>
      <c r="B161" s="3"/>
      <c r="C161" s="3"/>
      <c r="D161" s="3"/>
    </row>
    <row r="162" spans="1:4" ht="16.5" customHeight="1">
      <c r="A162" s="3"/>
      <c r="B162" s="3"/>
      <c r="C162" s="3"/>
      <c r="D162" s="3"/>
    </row>
    <row r="163" spans="1:4" ht="16.5" customHeight="1">
      <c r="A163" s="3"/>
      <c r="B163" s="3"/>
      <c r="C163" s="3"/>
      <c r="D163" s="3"/>
    </row>
    <row r="164" spans="1:4" ht="16.5" customHeight="1">
      <c r="A164" s="3"/>
      <c r="B164" s="3"/>
      <c r="C164" s="3"/>
      <c r="D164" s="3"/>
    </row>
    <row r="165" spans="1:4" ht="16.5" customHeight="1">
      <c r="A165" s="3"/>
      <c r="B165" s="3"/>
      <c r="C165" s="3"/>
      <c r="D165" s="3"/>
    </row>
    <row r="166" spans="1:4" ht="16.5" customHeight="1">
      <c r="A166" s="3"/>
      <c r="B166" s="3"/>
      <c r="C166" s="3"/>
      <c r="D166" s="3"/>
    </row>
    <row r="167" spans="1:4" ht="16.5" customHeight="1">
      <c r="A167" s="3"/>
      <c r="B167" s="3"/>
      <c r="C167" s="3"/>
      <c r="D167" s="3"/>
    </row>
    <row r="168" spans="1:4" ht="16.5" customHeight="1">
      <c r="A168" s="3"/>
      <c r="B168" s="3"/>
      <c r="C168" s="3"/>
      <c r="D168" s="3"/>
    </row>
    <row r="169" spans="1:4" ht="16.5" customHeight="1">
      <c r="A169" s="3"/>
      <c r="B169" s="3"/>
      <c r="C169" s="3"/>
      <c r="D169" s="3"/>
    </row>
    <row r="170" spans="1:4" ht="16.5" customHeight="1">
      <c r="A170" s="3"/>
      <c r="B170" s="3"/>
      <c r="C170" s="3"/>
      <c r="D170" s="3"/>
    </row>
    <row r="171" spans="1:4" ht="16.5" customHeight="1">
      <c r="A171" s="3"/>
      <c r="B171" s="3"/>
      <c r="C171" s="3"/>
      <c r="D171" s="3"/>
    </row>
    <row r="172" spans="1:4" ht="16.5" customHeight="1">
      <c r="A172" s="3"/>
      <c r="B172" s="3"/>
      <c r="C172" s="3"/>
      <c r="D172" s="3"/>
    </row>
    <row r="173" spans="1:4" ht="16.5" customHeight="1">
      <c r="A173" s="3"/>
      <c r="B173" s="3"/>
      <c r="C173" s="3"/>
      <c r="D173" s="3"/>
    </row>
    <row r="174" spans="1:4" ht="16.5" customHeight="1">
      <c r="A174" s="3"/>
      <c r="B174" s="3"/>
      <c r="C174" s="3"/>
      <c r="D174" s="3"/>
    </row>
    <row r="175" spans="1:4" ht="16.5" customHeight="1">
      <c r="A175" s="3"/>
      <c r="B175" s="3"/>
      <c r="C175" s="3"/>
      <c r="D175" s="3"/>
    </row>
    <row r="176" spans="1:4" ht="16.5" customHeight="1">
      <c r="A176" s="3"/>
      <c r="B176" s="3"/>
      <c r="C176" s="3"/>
      <c r="D176" s="3"/>
    </row>
    <row r="177" spans="1:4" ht="16.5" customHeight="1">
      <c r="A177" s="3"/>
      <c r="B177" s="3"/>
      <c r="C177" s="3"/>
      <c r="D177" s="3"/>
    </row>
    <row r="178" spans="1:4" ht="16.5" customHeight="1">
      <c r="A178" s="3"/>
      <c r="B178" s="3"/>
      <c r="C178" s="3"/>
      <c r="D178" s="3"/>
    </row>
    <row r="179" spans="1:4" ht="16.5" customHeight="1">
      <c r="A179" s="3"/>
      <c r="B179" s="3"/>
      <c r="C179" s="3"/>
      <c r="D179" s="3"/>
    </row>
    <row r="180" spans="1:4" ht="16.5" customHeight="1">
      <c r="A180" s="3"/>
      <c r="B180" s="3"/>
      <c r="C180" s="3"/>
      <c r="D180" s="3"/>
    </row>
    <row r="181" spans="1:4" ht="16.5" customHeight="1">
      <c r="A181" s="3"/>
      <c r="B181" s="3"/>
      <c r="C181" s="3"/>
      <c r="D181" s="3"/>
    </row>
    <row r="182" spans="1:4" ht="16.5" customHeight="1">
      <c r="A182" s="3"/>
      <c r="B182" s="3"/>
      <c r="C182" s="3"/>
      <c r="D182" s="3"/>
    </row>
    <row r="183" spans="1:4" ht="16.5" customHeight="1">
      <c r="A183" s="3"/>
      <c r="B183" s="3"/>
      <c r="C183" s="3"/>
      <c r="D183" s="3"/>
    </row>
    <row r="184" spans="1:4" ht="16.5" customHeight="1">
      <c r="A184" s="3"/>
      <c r="B184" s="3"/>
      <c r="C184" s="3"/>
      <c r="D184" s="3"/>
    </row>
    <row r="185" spans="1:4" ht="16.5" customHeight="1">
      <c r="A185" s="3"/>
      <c r="B185" s="3"/>
      <c r="C185" s="3"/>
      <c r="D185" s="3"/>
    </row>
    <row r="186" spans="1:4" ht="16.5" customHeight="1">
      <c r="A186" s="3"/>
      <c r="B186" s="3"/>
      <c r="C186" s="3"/>
      <c r="D186" s="3"/>
    </row>
    <row r="187" spans="1:4" ht="16.5" customHeight="1">
      <c r="A187" s="3"/>
      <c r="B187" s="3"/>
      <c r="C187" s="3"/>
      <c r="D187" s="3"/>
    </row>
    <row r="188" spans="1:4" ht="16.5" customHeight="1">
      <c r="A188" s="3"/>
      <c r="B188" s="3"/>
      <c r="C188" s="3"/>
      <c r="D188" s="3"/>
    </row>
    <row r="189" spans="1:4" ht="16.5" customHeight="1">
      <c r="A189" s="3"/>
      <c r="B189" s="3"/>
      <c r="C189" s="3"/>
      <c r="D189" s="3"/>
    </row>
    <row r="190" spans="1:4" ht="16.5" customHeight="1">
      <c r="A190" s="3"/>
      <c r="B190" s="3"/>
      <c r="C190" s="3"/>
      <c r="D190" s="3"/>
    </row>
    <row r="191" spans="1:4" ht="16.5" customHeight="1">
      <c r="A191" s="3"/>
      <c r="B191" s="3"/>
      <c r="C191" s="3"/>
      <c r="D191" s="3"/>
    </row>
    <row r="192" spans="1:4" ht="16.5" customHeight="1">
      <c r="A192" s="3"/>
      <c r="B192" s="3"/>
      <c r="C192" s="3"/>
      <c r="D192" s="3"/>
    </row>
    <row r="193" spans="1:4" ht="16.5" customHeight="1">
      <c r="A193" s="3"/>
      <c r="B193" s="3"/>
      <c r="C193" s="3"/>
      <c r="D193" s="3"/>
    </row>
    <row r="194" spans="1:4" ht="16.5" customHeight="1">
      <c r="A194" s="3"/>
      <c r="B194" s="3"/>
      <c r="C194" s="3"/>
      <c r="D194" s="3"/>
    </row>
    <row r="195" spans="1:4" ht="16.5" customHeight="1">
      <c r="A195" s="3"/>
      <c r="B195" s="3"/>
      <c r="C195" s="3"/>
      <c r="D195" s="3"/>
    </row>
    <row r="196" spans="1:4" ht="16.5" customHeight="1">
      <c r="A196" s="3"/>
      <c r="B196" s="3"/>
      <c r="C196" s="3"/>
      <c r="D196" s="3"/>
    </row>
    <row r="197" spans="1:4" ht="16.5" customHeight="1">
      <c r="A197" s="3"/>
      <c r="B197" s="3"/>
      <c r="C197" s="3"/>
      <c r="D197" s="3"/>
    </row>
    <row r="198" spans="1:4" ht="16.5" customHeight="1">
      <c r="A198" s="3"/>
      <c r="B198" s="3"/>
      <c r="C198" s="3"/>
      <c r="D198" s="3"/>
    </row>
    <row r="199" spans="1:4" ht="16.5" customHeight="1">
      <c r="A199" s="3"/>
      <c r="B199" s="3"/>
      <c r="C199" s="3"/>
      <c r="D199" s="3"/>
    </row>
    <row r="200" spans="1:4" ht="16.5" customHeight="1">
      <c r="A200" s="3"/>
      <c r="B200" s="3"/>
      <c r="C200" s="3"/>
      <c r="D200" s="3"/>
    </row>
    <row r="201" spans="1:4" ht="16.5" customHeight="1">
      <c r="A201" s="3"/>
      <c r="B201" s="3"/>
      <c r="C201" s="3"/>
      <c r="D201" s="3"/>
    </row>
    <row r="202" spans="1:4" ht="16.5" customHeight="1">
      <c r="A202" s="3"/>
      <c r="B202" s="3"/>
      <c r="C202" s="3"/>
      <c r="D202" s="3"/>
    </row>
    <row r="203" spans="1:4" ht="16.5" customHeight="1">
      <c r="A203" s="3"/>
      <c r="B203" s="3"/>
      <c r="C203" s="3"/>
      <c r="D203" s="3"/>
    </row>
    <row r="204" spans="1:4" ht="16.5" customHeight="1">
      <c r="A204" s="3"/>
      <c r="B204" s="3"/>
      <c r="C204" s="3"/>
      <c r="D204" s="3"/>
    </row>
    <row r="205" spans="1:4" ht="16.5" customHeight="1">
      <c r="A205" s="3"/>
      <c r="B205" s="3"/>
      <c r="C205" s="3"/>
      <c r="D205" s="3"/>
    </row>
    <row r="206" spans="1:4" ht="16.5" customHeight="1">
      <c r="A206" s="3"/>
      <c r="B206" s="3"/>
      <c r="C206" s="3"/>
      <c r="D206" s="3"/>
    </row>
    <row r="207" spans="1:4" ht="16.5" customHeight="1">
      <c r="A207" s="3"/>
      <c r="B207" s="3"/>
      <c r="C207" s="3"/>
      <c r="D207" s="3"/>
    </row>
    <row r="208" spans="1:4" ht="16.5" customHeight="1">
      <c r="A208" s="3"/>
      <c r="B208" s="3"/>
      <c r="C208" s="3"/>
      <c r="D208" s="3"/>
    </row>
    <row r="209" spans="1:4" ht="16.5" customHeight="1">
      <c r="A209" s="3"/>
      <c r="B209" s="3"/>
      <c r="C209" s="3"/>
      <c r="D209" s="3"/>
    </row>
    <row r="210" spans="1:4" ht="16.5" customHeight="1">
      <c r="A210" s="3"/>
      <c r="B210" s="3"/>
      <c r="C210" s="3"/>
      <c r="D210" s="3"/>
    </row>
    <row r="211" spans="1:4" ht="16.5" customHeight="1">
      <c r="A211" s="3"/>
      <c r="B211" s="3"/>
      <c r="C211" s="3"/>
      <c r="D211" s="3"/>
    </row>
    <row r="212" spans="1:4" ht="16.5" customHeight="1">
      <c r="A212" s="3"/>
      <c r="B212" s="3"/>
      <c r="C212" s="3"/>
      <c r="D212" s="3"/>
    </row>
    <row r="213" spans="1:4" ht="16.5" customHeight="1">
      <c r="A213" s="3"/>
      <c r="B213" s="3"/>
      <c r="C213" s="3"/>
      <c r="D213" s="3"/>
    </row>
    <row r="214" spans="1:4" ht="16.5" customHeight="1">
      <c r="A214" s="3"/>
      <c r="B214" s="3"/>
      <c r="C214" s="3"/>
      <c r="D214" s="3"/>
    </row>
    <row r="215" spans="1:4" ht="16.5" customHeight="1">
      <c r="A215" s="3"/>
      <c r="B215" s="3"/>
      <c r="C215" s="3"/>
      <c r="D215" s="3"/>
    </row>
    <row r="216" spans="1:4" ht="16.5" customHeight="1">
      <c r="A216" s="3"/>
      <c r="B216" s="3"/>
      <c r="C216" s="3"/>
      <c r="D216" s="3"/>
    </row>
    <row r="217" spans="1:4" ht="16.5" customHeight="1">
      <c r="A217" s="3"/>
      <c r="B217" s="3"/>
      <c r="C217" s="3"/>
      <c r="D217" s="3"/>
    </row>
    <row r="218" spans="1:4" ht="16.5" customHeight="1">
      <c r="A218" s="3"/>
      <c r="B218" s="3"/>
      <c r="C218" s="3"/>
      <c r="D218" s="3"/>
    </row>
    <row r="219" spans="1:4" ht="16.5" customHeight="1">
      <c r="A219" s="3"/>
      <c r="B219" s="3"/>
      <c r="C219" s="3"/>
      <c r="D219" s="3"/>
    </row>
    <row r="220" spans="1:4" ht="16.5" customHeight="1">
      <c r="A220" s="3"/>
      <c r="B220" s="3"/>
      <c r="C220" s="3"/>
      <c r="D220" s="3"/>
    </row>
    <row r="221" spans="1:4" ht="16.5" customHeight="1">
      <c r="A221" s="3"/>
      <c r="B221" s="3"/>
      <c r="C221" s="3"/>
      <c r="D221" s="3"/>
    </row>
    <row r="222" spans="1:4" ht="16.5" customHeight="1">
      <c r="A222" s="3"/>
      <c r="B222" s="3"/>
      <c r="C222" s="3"/>
      <c r="D222" s="3"/>
    </row>
    <row r="223" spans="1:4" ht="16.5" customHeight="1">
      <c r="A223" s="3"/>
      <c r="B223" s="3"/>
      <c r="C223" s="3"/>
      <c r="D223" s="3"/>
    </row>
    <row r="224" spans="1:4" ht="16.5" customHeight="1">
      <c r="A224" s="3"/>
      <c r="B224" s="3"/>
      <c r="C224" s="3"/>
      <c r="D224" s="3"/>
    </row>
    <row r="225" spans="1:4" ht="16.5" customHeight="1">
      <c r="A225" s="3"/>
      <c r="B225" s="3"/>
      <c r="C225" s="3"/>
      <c r="D225" s="3"/>
    </row>
    <row r="226" spans="1:4" ht="16.5" customHeight="1">
      <c r="A226" s="3"/>
      <c r="B226" s="3"/>
      <c r="C226" s="3"/>
      <c r="D226" s="3"/>
    </row>
    <row r="227" spans="1:4" ht="16.5" customHeight="1">
      <c r="A227" s="3"/>
      <c r="B227" s="3"/>
      <c r="C227" s="3"/>
      <c r="D227" s="3"/>
    </row>
    <row r="228" spans="1:4" ht="16.5" customHeight="1">
      <c r="A228" s="3"/>
      <c r="B228" s="3"/>
      <c r="C228" s="3"/>
      <c r="D228" s="3"/>
    </row>
    <row r="229" spans="1:4" ht="16.5" customHeight="1">
      <c r="A229" s="3"/>
      <c r="B229" s="3"/>
      <c r="C229" s="3"/>
      <c r="D229" s="3"/>
    </row>
    <row r="230" spans="1:4" ht="16.5" customHeight="1">
      <c r="A230" s="3"/>
      <c r="B230" s="3"/>
      <c r="C230" s="3"/>
      <c r="D230" s="3"/>
    </row>
    <row r="231" spans="1:4" ht="16.5" customHeight="1">
      <c r="A231" s="3"/>
      <c r="B231" s="3"/>
      <c r="C231" s="3"/>
      <c r="D231" s="3"/>
    </row>
    <row r="232" spans="1:4" ht="16.5" customHeight="1">
      <c r="A232" s="3"/>
      <c r="B232" s="3"/>
      <c r="C232" s="3"/>
      <c r="D232" s="3"/>
    </row>
    <row r="233" spans="1:4" ht="16.5" customHeight="1">
      <c r="A233" s="3"/>
      <c r="B233" s="3"/>
      <c r="C233" s="3"/>
      <c r="D233" s="3"/>
    </row>
    <row r="234" spans="1:4" ht="16.5" customHeight="1">
      <c r="A234" s="3"/>
      <c r="B234" s="3"/>
      <c r="C234" s="3"/>
      <c r="D234" s="3"/>
    </row>
    <row r="235" spans="1:4" ht="16.5" customHeight="1">
      <c r="A235" s="3"/>
      <c r="B235" s="3"/>
      <c r="C235" s="3"/>
      <c r="D235" s="3"/>
    </row>
    <row r="236" spans="1:4" ht="16.5" customHeight="1">
      <c r="A236" s="3"/>
      <c r="B236" s="3"/>
      <c r="C236" s="3"/>
      <c r="D236" s="3"/>
    </row>
    <row r="237" spans="1:4" ht="16.5" customHeight="1">
      <c r="A237" s="3"/>
      <c r="B237" s="3"/>
      <c r="C237" s="3"/>
      <c r="D237" s="3"/>
    </row>
    <row r="238" spans="1:4" ht="16.5" customHeight="1">
      <c r="A238" s="3"/>
      <c r="B238" s="3"/>
      <c r="C238" s="3"/>
      <c r="D238" s="3"/>
    </row>
    <row r="239" spans="1:4" ht="16.5" customHeight="1">
      <c r="A239" s="3"/>
      <c r="B239" s="3"/>
      <c r="C239" s="3"/>
      <c r="D239" s="3"/>
    </row>
    <row r="240" spans="1:4" ht="16.5" customHeight="1">
      <c r="A240" s="3"/>
      <c r="B240" s="3"/>
      <c r="C240" s="3"/>
      <c r="D240" s="3"/>
    </row>
    <row r="241" spans="1:4" ht="16.5" customHeight="1">
      <c r="A241" s="3"/>
      <c r="B241" s="3"/>
      <c r="C241" s="3"/>
      <c r="D241" s="3"/>
    </row>
    <row r="242" spans="1:4" ht="16.5" customHeight="1">
      <c r="A242" s="3"/>
      <c r="B242" s="3"/>
      <c r="C242" s="3"/>
      <c r="D242" s="3"/>
    </row>
    <row r="243" spans="1:4" ht="16.5" customHeight="1">
      <c r="A243" s="3"/>
      <c r="B243" s="3"/>
      <c r="C243" s="3"/>
      <c r="D243" s="3"/>
    </row>
    <row r="244" spans="1:4" ht="16.5" customHeight="1">
      <c r="A244" s="3"/>
      <c r="B244" s="3"/>
      <c r="C244" s="3"/>
      <c r="D244" s="3"/>
    </row>
    <row r="245" spans="1:4" ht="16.5" customHeight="1">
      <c r="A245" s="3"/>
      <c r="B245" s="3"/>
      <c r="C245" s="3"/>
      <c r="D245" s="3"/>
    </row>
    <row r="246" spans="1:4" ht="16.5" customHeight="1">
      <c r="A246" s="3"/>
      <c r="B246" s="3"/>
      <c r="C246" s="3"/>
      <c r="D246" s="3"/>
    </row>
    <row r="247" spans="1:4" ht="16.5" customHeight="1">
      <c r="A247" s="3"/>
      <c r="B247" s="3"/>
      <c r="C247" s="3"/>
      <c r="D247" s="3"/>
    </row>
    <row r="248" spans="1:4" ht="16.5" customHeight="1">
      <c r="A248" s="3"/>
      <c r="B248" s="3"/>
      <c r="C248" s="3"/>
      <c r="D248" s="3"/>
    </row>
    <row r="249" spans="1:4" ht="16.5" customHeight="1">
      <c r="A249" s="3"/>
      <c r="B249" s="3"/>
      <c r="C249" s="3"/>
      <c r="D249" s="3"/>
    </row>
    <row r="250" spans="1:4" ht="16.5" customHeight="1">
      <c r="A250" s="3"/>
      <c r="B250" s="3"/>
      <c r="C250" s="3"/>
      <c r="D250" s="3"/>
    </row>
    <row r="251" spans="1:4" ht="16.5" customHeight="1">
      <c r="A251" s="3"/>
      <c r="B251" s="3"/>
      <c r="C251" s="3"/>
      <c r="D251" s="3"/>
    </row>
    <row r="252" spans="1:4" ht="16.5" customHeight="1">
      <c r="A252" s="3"/>
      <c r="B252" s="3"/>
      <c r="C252" s="3"/>
      <c r="D252" s="3"/>
    </row>
    <row r="253" spans="1:4" ht="16.5" customHeight="1">
      <c r="A253" s="3"/>
      <c r="B253" s="3"/>
      <c r="C253" s="3"/>
      <c r="D253" s="3"/>
    </row>
    <row r="254" spans="1:4" ht="16.5" customHeight="1">
      <c r="A254" s="3"/>
      <c r="B254" s="3"/>
      <c r="C254" s="3"/>
      <c r="D254" s="3"/>
    </row>
    <row r="255" spans="1:4" ht="16.5" customHeight="1">
      <c r="A255" s="3"/>
      <c r="B255" s="3"/>
      <c r="C255" s="3"/>
      <c r="D255" s="3"/>
    </row>
    <row r="256" spans="1:4" ht="16.5" customHeight="1">
      <c r="A256" s="3"/>
      <c r="B256" s="3"/>
      <c r="C256" s="3"/>
      <c r="D256" s="3"/>
    </row>
    <row r="257" spans="1:4" ht="16.5" customHeight="1">
      <c r="A257" s="3"/>
      <c r="B257" s="3"/>
      <c r="C257" s="3"/>
      <c r="D257" s="3"/>
    </row>
    <row r="258" spans="1:4" ht="16.5" customHeight="1">
      <c r="A258" s="3"/>
      <c r="B258" s="3"/>
      <c r="C258" s="3"/>
      <c r="D258" s="3"/>
    </row>
    <row r="259" spans="1:4" ht="16.5" customHeight="1">
      <c r="A259" s="3"/>
      <c r="B259" s="3"/>
      <c r="C259" s="3"/>
      <c r="D259" s="3"/>
    </row>
    <row r="260" spans="1:4" ht="16.5" customHeight="1">
      <c r="A260" s="3"/>
      <c r="B260" s="3"/>
      <c r="C260" s="3"/>
      <c r="D260" s="3"/>
    </row>
    <row r="261" spans="1:4" ht="16.5" customHeight="1">
      <c r="A261" s="3"/>
      <c r="B261" s="3"/>
      <c r="C261" s="3"/>
      <c r="D261" s="3"/>
    </row>
    <row r="262" spans="1:4" ht="16.5" customHeight="1">
      <c r="A262" s="3"/>
      <c r="B262" s="3"/>
      <c r="C262" s="3"/>
      <c r="D262" s="3"/>
    </row>
    <row r="263" spans="1:4" ht="16.5" customHeight="1">
      <c r="A263" s="3"/>
      <c r="B263" s="3"/>
      <c r="C263" s="3"/>
      <c r="D263" s="3"/>
    </row>
    <row r="264" spans="1:4" ht="16.5" customHeight="1">
      <c r="A264" s="3"/>
      <c r="B264" s="3"/>
      <c r="C264" s="3"/>
      <c r="D264" s="3"/>
    </row>
    <row r="265" spans="1:4" ht="16.5" customHeight="1">
      <c r="A265" s="3"/>
      <c r="B265" s="3"/>
      <c r="C265" s="3"/>
      <c r="D265" s="3"/>
    </row>
    <row r="266" spans="1:4" ht="16.5" customHeight="1">
      <c r="A266" s="3"/>
      <c r="B266" s="3"/>
      <c r="C266" s="3"/>
      <c r="D266" s="3"/>
    </row>
    <row r="267" spans="1:4" ht="16.5" customHeight="1">
      <c r="A267" s="3"/>
      <c r="B267" s="3"/>
      <c r="C267" s="3"/>
      <c r="D267" s="3"/>
    </row>
    <row r="268" spans="1:4" ht="16.5" customHeight="1">
      <c r="A268" s="3"/>
      <c r="B268" s="3"/>
      <c r="C268" s="3"/>
      <c r="D268" s="3"/>
    </row>
    <row r="269" spans="1:4" ht="16.5" customHeight="1">
      <c r="A269" s="3"/>
      <c r="B269" s="3"/>
      <c r="C269" s="3"/>
      <c r="D269" s="3"/>
    </row>
    <row r="270" spans="1:4" ht="16.5" customHeight="1">
      <c r="A270" s="3"/>
      <c r="B270" s="3"/>
      <c r="C270" s="3"/>
      <c r="D270" s="3"/>
    </row>
    <row r="271" spans="1:4" ht="16.5" customHeight="1">
      <c r="A271" s="3"/>
      <c r="B271" s="3"/>
      <c r="C271" s="3"/>
      <c r="D271" s="3"/>
    </row>
    <row r="272" spans="1:4" ht="16.5" customHeight="1">
      <c r="A272" s="3"/>
      <c r="B272" s="3"/>
      <c r="C272" s="3"/>
      <c r="D272" s="3"/>
    </row>
    <row r="273" spans="1:4" ht="16.5" customHeight="1">
      <c r="A273" s="3"/>
      <c r="B273" s="3"/>
      <c r="C273" s="3"/>
      <c r="D273" s="3"/>
    </row>
    <row r="274" spans="1:4" ht="16.5" customHeight="1">
      <c r="A274" s="3"/>
      <c r="B274" s="3"/>
      <c r="C274" s="3"/>
      <c r="D274" s="3"/>
    </row>
    <row r="275" spans="1:4" ht="16.5" customHeight="1">
      <c r="A275" s="3"/>
      <c r="B275" s="3"/>
      <c r="C275" s="3"/>
      <c r="D275" s="3"/>
    </row>
    <row r="276" spans="1:4" ht="16.5" customHeight="1">
      <c r="A276" s="3"/>
      <c r="B276" s="3"/>
      <c r="C276" s="3"/>
      <c r="D276" s="3"/>
    </row>
    <row r="277" spans="1:4" ht="16.5" customHeight="1">
      <c r="A277" s="3"/>
      <c r="B277" s="3"/>
      <c r="C277" s="3"/>
      <c r="D277" s="3"/>
    </row>
    <row r="278" spans="1:4" ht="16.5" customHeight="1">
      <c r="A278" s="3"/>
      <c r="B278" s="3"/>
      <c r="C278" s="3"/>
      <c r="D278" s="3"/>
    </row>
    <row r="279" spans="1:4" ht="16.5" customHeight="1">
      <c r="A279" s="3"/>
      <c r="B279" s="3"/>
      <c r="C279" s="3"/>
      <c r="D279" s="3"/>
    </row>
    <row r="280" spans="1:4" ht="16.5" customHeight="1">
      <c r="A280" s="3"/>
      <c r="B280" s="3"/>
      <c r="C280" s="3"/>
      <c r="D280" s="3"/>
    </row>
    <row r="281" spans="1:4" ht="16.5" customHeight="1">
      <c r="A281" s="3"/>
      <c r="B281" s="3"/>
      <c r="C281" s="3"/>
      <c r="D281" s="3"/>
    </row>
    <row r="282" spans="1:4" ht="16.5" customHeight="1">
      <c r="A282" s="3"/>
      <c r="B282" s="3"/>
      <c r="C282" s="3"/>
      <c r="D282" s="3"/>
    </row>
    <row r="283" spans="1:4" ht="16.5" customHeight="1">
      <c r="A283" s="3"/>
      <c r="B283" s="3"/>
      <c r="C283" s="3"/>
      <c r="D283" s="3"/>
    </row>
    <row r="284" spans="1:4" ht="16.5" customHeight="1">
      <c r="A284" s="3"/>
      <c r="B284" s="3"/>
      <c r="C284" s="3"/>
      <c r="D284" s="3"/>
    </row>
    <row r="285" spans="1:4" ht="16.5" customHeight="1">
      <c r="A285" s="3"/>
      <c r="B285" s="3"/>
      <c r="C285" s="3"/>
      <c r="D285" s="3"/>
    </row>
    <row r="286" spans="1:4" ht="16.5" customHeight="1">
      <c r="A286" s="3"/>
      <c r="B286" s="3"/>
      <c r="C286" s="3"/>
      <c r="D286" s="3"/>
    </row>
    <row r="287" spans="1:4" ht="16.5" customHeight="1">
      <c r="A287" s="3"/>
      <c r="B287" s="3"/>
      <c r="C287" s="3"/>
      <c r="D287" s="3"/>
    </row>
    <row r="288" spans="1:4" ht="16.5" customHeight="1">
      <c r="A288" s="3"/>
      <c r="B288" s="3"/>
      <c r="C288" s="3"/>
      <c r="D288" s="3"/>
    </row>
    <row r="289" spans="1:4" ht="16.5" customHeight="1">
      <c r="A289" s="3"/>
      <c r="B289" s="3"/>
      <c r="C289" s="3"/>
      <c r="D289" s="3"/>
    </row>
    <row r="290" spans="1:4" ht="16.5" customHeight="1">
      <c r="A290" s="3"/>
      <c r="B290" s="3"/>
      <c r="C290" s="3"/>
      <c r="D290" s="3"/>
    </row>
    <row r="291" spans="1:4" ht="16.5" customHeight="1">
      <c r="A291" s="3"/>
      <c r="B291" s="3"/>
      <c r="C291" s="3"/>
      <c r="D291" s="3"/>
    </row>
    <row r="292" spans="1:4" ht="16.5" customHeight="1">
      <c r="A292" s="3"/>
      <c r="B292" s="3"/>
      <c r="C292" s="3"/>
      <c r="D292" s="3"/>
    </row>
    <row r="293" spans="1:4" ht="16.5" customHeight="1">
      <c r="A293" s="3"/>
      <c r="B293" s="3"/>
      <c r="C293" s="3"/>
      <c r="D293" s="3"/>
    </row>
    <row r="294" spans="1:4" ht="16.5" customHeight="1">
      <c r="A294" s="3"/>
      <c r="B294" s="3"/>
      <c r="C294" s="3"/>
      <c r="D294" s="3"/>
    </row>
    <row r="295" spans="1:4" ht="16.5" customHeight="1">
      <c r="A295" s="3"/>
      <c r="B295" s="3"/>
      <c r="C295" s="3"/>
      <c r="D295" s="3"/>
    </row>
    <row r="296" spans="1:4" ht="16.5" customHeight="1">
      <c r="A296" s="3"/>
      <c r="B296" s="3"/>
      <c r="C296" s="3"/>
      <c r="D296" s="3"/>
    </row>
    <row r="297" spans="1:4" ht="16.5" customHeight="1">
      <c r="A297" s="3"/>
      <c r="B297" s="3"/>
      <c r="C297" s="3"/>
      <c r="D297" s="3"/>
    </row>
    <row r="298" spans="1:4" ht="16.5" customHeight="1">
      <c r="A298" s="3"/>
      <c r="B298" s="3"/>
      <c r="C298" s="3"/>
      <c r="D298" s="3"/>
    </row>
    <row r="299" spans="1:4" ht="16.5" customHeight="1">
      <c r="A299" s="3"/>
      <c r="B299" s="3"/>
      <c r="C299" s="3"/>
      <c r="D299" s="3"/>
    </row>
    <row r="300" spans="1:4" ht="16.5" customHeight="1">
      <c r="A300" s="3"/>
      <c r="B300" s="3"/>
      <c r="C300" s="3"/>
      <c r="D300" s="3"/>
    </row>
    <row r="301" spans="1:4" ht="16.5" customHeight="1">
      <c r="A301" s="3"/>
      <c r="B301" s="3"/>
      <c r="C301" s="3"/>
      <c r="D301" s="3"/>
    </row>
    <row r="302" spans="1:4" ht="16.5" customHeight="1">
      <c r="A302" s="3"/>
      <c r="B302" s="3"/>
      <c r="C302" s="3"/>
      <c r="D302" s="3"/>
    </row>
    <row r="303" spans="1:4" ht="16.5" customHeight="1">
      <c r="A303" s="3"/>
      <c r="B303" s="3"/>
      <c r="C303" s="3"/>
      <c r="D303" s="3"/>
    </row>
    <row r="304" spans="1:4" ht="16.5" customHeight="1">
      <c r="A304" s="3"/>
      <c r="B304" s="3"/>
      <c r="C304" s="3"/>
      <c r="D304" s="3"/>
    </row>
    <row r="305" spans="1:4" ht="16.5" customHeight="1">
      <c r="A305" s="3"/>
      <c r="B305" s="3"/>
      <c r="C305" s="3"/>
      <c r="D305" s="3"/>
    </row>
    <row r="306" spans="1:4" ht="16.5" customHeight="1">
      <c r="A306" s="3"/>
      <c r="B306" s="3"/>
      <c r="C306" s="3"/>
      <c r="D306" s="3"/>
    </row>
    <row r="307" spans="1:4" ht="16.5" customHeight="1">
      <c r="A307" s="3"/>
      <c r="B307" s="3"/>
      <c r="C307" s="3"/>
      <c r="D307" s="3"/>
    </row>
    <row r="308" spans="1:4" ht="16.5" customHeight="1">
      <c r="A308" s="3"/>
      <c r="B308" s="3"/>
      <c r="C308" s="3"/>
      <c r="D308" s="3"/>
    </row>
    <row r="309" spans="1:4" ht="16.5" customHeight="1">
      <c r="A309" s="3"/>
      <c r="B309" s="3"/>
      <c r="C309" s="3"/>
      <c r="D309" s="3"/>
    </row>
    <row r="310" spans="1:4" ht="16.5" customHeight="1">
      <c r="A310" s="3"/>
      <c r="B310" s="3"/>
      <c r="C310" s="3"/>
      <c r="D310" s="3"/>
    </row>
    <row r="311" spans="1:4" ht="16.5" customHeight="1">
      <c r="A311" s="3"/>
      <c r="B311" s="3"/>
      <c r="C311" s="3"/>
      <c r="D311" s="3"/>
    </row>
    <row r="312" spans="1:4" ht="16.5" customHeight="1">
      <c r="A312" s="3"/>
      <c r="B312" s="3"/>
      <c r="C312" s="3"/>
      <c r="D312" s="3"/>
    </row>
    <row r="313" spans="1:4" ht="16.5" customHeight="1">
      <c r="A313" s="3"/>
      <c r="B313" s="3"/>
      <c r="C313" s="3"/>
      <c r="D313" s="3"/>
    </row>
    <row r="314" spans="1:4" ht="16.5" customHeight="1">
      <c r="A314" s="3"/>
      <c r="B314" s="3"/>
      <c r="C314" s="3"/>
      <c r="D314" s="3"/>
    </row>
    <row r="315" spans="1:4" ht="16.5" customHeight="1">
      <c r="A315" s="3"/>
      <c r="B315" s="3"/>
      <c r="C315" s="3"/>
      <c r="D315" s="3"/>
    </row>
    <row r="316" spans="1:4" ht="16.5" customHeight="1">
      <c r="A316" s="3"/>
      <c r="B316" s="3"/>
      <c r="C316" s="3"/>
      <c r="D316" s="3"/>
    </row>
    <row r="317" spans="1:4" ht="16.5" customHeight="1">
      <c r="A317" s="3"/>
      <c r="B317" s="3"/>
      <c r="C317" s="3"/>
      <c r="D317" s="3"/>
    </row>
    <row r="318" spans="1:4" ht="16.5" customHeight="1">
      <c r="A318" s="3"/>
      <c r="B318" s="3"/>
      <c r="C318" s="3"/>
      <c r="D318" s="3"/>
    </row>
    <row r="319" spans="1:4" ht="16.5" customHeight="1">
      <c r="A319" s="3"/>
      <c r="B319" s="3"/>
      <c r="C319" s="3"/>
      <c r="D319" s="3"/>
    </row>
    <row r="320" spans="1:4" ht="16.5" customHeight="1">
      <c r="A320" s="3"/>
      <c r="B320" s="3"/>
      <c r="C320" s="3"/>
      <c r="D320" s="3"/>
    </row>
    <row r="321" spans="1:4" ht="16.5" customHeight="1">
      <c r="A321" s="3"/>
      <c r="B321" s="3"/>
      <c r="C321" s="3"/>
      <c r="D321" s="3"/>
    </row>
    <row r="322" spans="1:4" ht="16.5" customHeight="1">
      <c r="A322" s="3"/>
      <c r="B322" s="3"/>
      <c r="C322" s="3"/>
      <c r="D322" s="3"/>
    </row>
    <row r="323" spans="1:4" ht="16.5" customHeight="1">
      <c r="A323" s="3"/>
      <c r="B323" s="3"/>
      <c r="C323" s="3"/>
      <c r="D323" s="3"/>
    </row>
    <row r="324" spans="1:4" ht="16.5" customHeight="1">
      <c r="A324" s="3"/>
      <c r="B324" s="3"/>
      <c r="C324" s="3"/>
      <c r="D324" s="3"/>
    </row>
    <row r="325" spans="1:4" ht="16.5" customHeight="1">
      <c r="A325" s="3"/>
      <c r="B325" s="3"/>
      <c r="C325" s="3"/>
      <c r="D325" s="3"/>
    </row>
    <row r="326" spans="1:4" ht="16.5" customHeight="1">
      <c r="A326" s="3"/>
      <c r="B326" s="3"/>
      <c r="C326" s="3"/>
      <c r="D326" s="3"/>
    </row>
    <row r="327" spans="1:4" ht="16.5" customHeight="1">
      <c r="A327" s="3"/>
      <c r="B327" s="3"/>
      <c r="C327" s="3"/>
      <c r="D327" s="3"/>
    </row>
    <row r="328" spans="1:4" ht="16.5" customHeight="1">
      <c r="A328" s="3"/>
      <c r="B328" s="3"/>
      <c r="C328" s="3"/>
      <c r="D328" s="3"/>
    </row>
    <row r="329" spans="1:4" ht="16.5" customHeight="1">
      <c r="A329" s="3"/>
      <c r="B329" s="3"/>
      <c r="C329" s="3"/>
      <c r="D329" s="3"/>
    </row>
    <row r="330" spans="1:4" ht="16.5" customHeight="1">
      <c r="A330" s="3"/>
      <c r="B330" s="3"/>
      <c r="C330" s="3"/>
      <c r="D330" s="3"/>
    </row>
    <row r="331" spans="1:4" ht="16.5" customHeight="1">
      <c r="A331" s="3"/>
      <c r="B331" s="3"/>
      <c r="C331" s="3"/>
      <c r="D331" s="3"/>
    </row>
    <row r="332" spans="1:4" ht="16.5" customHeight="1">
      <c r="A332" s="3"/>
      <c r="B332" s="3"/>
      <c r="C332" s="3"/>
      <c r="D332" s="3"/>
    </row>
    <row r="333" spans="1:4" ht="16.5" customHeight="1">
      <c r="A333" s="3"/>
      <c r="B333" s="3"/>
      <c r="C333" s="3"/>
      <c r="D333" s="3"/>
    </row>
    <row r="334" spans="1:4" ht="16.5" customHeight="1">
      <c r="A334" s="3"/>
      <c r="B334" s="3"/>
      <c r="C334" s="3"/>
      <c r="D334" s="3"/>
    </row>
    <row r="335" spans="1:4" ht="16.5" customHeight="1">
      <c r="A335" s="3"/>
      <c r="B335" s="3"/>
      <c r="C335" s="3"/>
      <c r="D335" s="3"/>
    </row>
    <row r="336" spans="1:4" ht="16.5" customHeight="1">
      <c r="A336" s="3"/>
      <c r="B336" s="3"/>
      <c r="C336" s="3"/>
      <c r="D336" s="3"/>
    </row>
    <row r="337" spans="1:4" ht="16.5" customHeight="1">
      <c r="A337" s="3"/>
      <c r="B337" s="3"/>
      <c r="C337" s="3"/>
      <c r="D337" s="3"/>
    </row>
    <row r="338" spans="1:4" ht="16.5" customHeight="1">
      <c r="A338" s="3"/>
      <c r="B338" s="3"/>
      <c r="C338" s="3"/>
      <c r="D338" s="3"/>
    </row>
    <row r="339" spans="1:4" ht="16.5" customHeight="1">
      <c r="A339" s="3"/>
      <c r="B339" s="3"/>
      <c r="C339" s="3"/>
      <c r="D339" s="3"/>
    </row>
    <row r="340" spans="1:4" ht="16.5" customHeight="1">
      <c r="A340" s="3"/>
      <c r="B340" s="3"/>
      <c r="C340" s="3"/>
      <c r="D340" s="3"/>
    </row>
    <row r="341" spans="1:4" ht="16.5" customHeight="1">
      <c r="A341" s="3"/>
      <c r="B341" s="3"/>
      <c r="C341" s="3"/>
      <c r="D341" s="3"/>
    </row>
    <row r="342" spans="1:4" ht="16.5" customHeight="1">
      <c r="A342" s="3"/>
      <c r="B342" s="3"/>
      <c r="C342" s="3"/>
      <c r="D342" s="3"/>
    </row>
    <row r="343" spans="1:4" ht="16.5" customHeight="1">
      <c r="A343" s="3"/>
      <c r="B343" s="3"/>
      <c r="C343" s="3"/>
      <c r="D343" s="3"/>
    </row>
    <row r="344" spans="1:4" ht="16.5" customHeight="1">
      <c r="A344" s="3"/>
      <c r="B344" s="3"/>
      <c r="C344" s="3"/>
      <c r="D344" s="3"/>
    </row>
    <row r="345" spans="1:4" ht="16.5" customHeight="1">
      <c r="A345" s="3"/>
      <c r="B345" s="3"/>
      <c r="C345" s="3"/>
      <c r="D345" s="3"/>
    </row>
    <row r="346" spans="1:4" ht="16.5" customHeight="1">
      <c r="A346" s="3"/>
      <c r="B346" s="3"/>
      <c r="C346" s="3"/>
      <c r="D346" s="3"/>
    </row>
    <row r="347" spans="1:4" ht="16.5" customHeight="1">
      <c r="A347" s="3"/>
      <c r="B347" s="3"/>
      <c r="C347" s="3"/>
      <c r="D347" s="3"/>
    </row>
    <row r="348" spans="1:4" ht="16.5" customHeight="1">
      <c r="A348" s="3"/>
      <c r="B348" s="3"/>
      <c r="C348" s="3"/>
      <c r="D348" s="3"/>
    </row>
    <row r="349" spans="1:4" ht="16.5" customHeight="1">
      <c r="A349" s="3"/>
      <c r="B349" s="3"/>
      <c r="C349" s="3"/>
      <c r="D349" s="3"/>
    </row>
    <row r="350" spans="1:4" ht="16.5" customHeight="1">
      <c r="A350" s="3"/>
      <c r="B350" s="3"/>
      <c r="C350" s="3"/>
      <c r="D350" s="3"/>
    </row>
    <row r="351" spans="1:4" ht="16.5" customHeight="1">
      <c r="A351" s="3"/>
      <c r="B351" s="3"/>
      <c r="C351" s="3"/>
      <c r="D351" s="3"/>
    </row>
    <row r="352" spans="1:4" ht="16.5" customHeight="1">
      <c r="A352" s="3"/>
      <c r="B352" s="3"/>
      <c r="C352" s="3"/>
      <c r="D352" s="3"/>
    </row>
    <row r="353" spans="1:4" ht="16.5" customHeight="1">
      <c r="A353" s="3"/>
      <c r="B353" s="3"/>
      <c r="C353" s="3"/>
      <c r="D353" s="3"/>
    </row>
    <row r="354" spans="1:4" ht="16.5" customHeight="1">
      <c r="A354" s="3"/>
      <c r="B354" s="3"/>
      <c r="C354" s="3"/>
      <c r="D354" s="3"/>
    </row>
    <row r="355" spans="1:4" ht="16.5" customHeight="1">
      <c r="A355" s="3"/>
      <c r="B355" s="3"/>
      <c r="C355" s="3"/>
      <c r="D355" s="3"/>
    </row>
    <row r="356" spans="1:4" ht="16.5" customHeight="1">
      <c r="A356" s="3"/>
      <c r="B356" s="3"/>
      <c r="C356" s="3"/>
      <c r="D356" s="3"/>
    </row>
    <row r="357" spans="1:4" ht="16.5" customHeight="1">
      <c r="A357" s="3"/>
      <c r="B357" s="3"/>
      <c r="C357" s="3"/>
      <c r="D357" s="3"/>
    </row>
    <row r="358" spans="1:4" ht="16.5" customHeight="1">
      <c r="A358" s="3"/>
      <c r="B358" s="3"/>
      <c r="C358" s="3"/>
      <c r="D358" s="3"/>
    </row>
    <row r="359" spans="1:4" ht="16.5" customHeight="1">
      <c r="A359" s="3"/>
      <c r="B359" s="3"/>
      <c r="C359" s="3"/>
      <c r="D359" s="3"/>
    </row>
    <row r="360" spans="1:4" ht="16.5" customHeight="1">
      <c r="A360" s="3"/>
      <c r="B360" s="3"/>
      <c r="C360" s="3"/>
      <c r="D360" s="3"/>
    </row>
    <row r="361" spans="1:4" ht="16.5" customHeight="1">
      <c r="A361" s="3"/>
      <c r="B361" s="3"/>
      <c r="C361" s="3"/>
      <c r="D361" s="3"/>
    </row>
    <row r="362" spans="1:4" ht="16.5" customHeight="1">
      <c r="A362" s="3"/>
      <c r="B362" s="3"/>
      <c r="C362" s="3"/>
      <c r="D362" s="3"/>
    </row>
    <row r="363" spans="1:4" ht="16.5" customHeight="1">
      <c r="A363" s="3"/>
      <c r="B363" s="3"/>
      <c r="C363" s="3"/>
      <c r="D363" s="3"/>
    </row>
    <row r="364" spans="1:4" ht="16.5" customHeight="1">
      <c r="A364" s="3"/>
      <c r="B364" s="3"/>
      <c r="C364" s="3"/>
      <c r="D364" s="3"/>
    </row>
    <row r="365" spans="1:4" ht="16.5" customHeight="1">
      <c r="A365" s="3"/>
      <c r="B365" s="3"/>
      <c r="C365" s="3"/>
      <c r="D365" s="3"/>
    </row>
    <row r="366" spans="1:4" ht="16.5" customHeight="1">
      <c r="A366" s="3"/>
      <c r="B366" s="3"/>
      <c r="C366" s="3"/>
      <c r="D366" s="3"/>
    </row>
    <row r="367" spans="1:4" ht="16.5" customHeight="1">
      <c r="A367" s="3"/>
      <c r="B367" s="3"/>
      <c r="C367" s="3"/>
      <c r="D367" s="3"/>
    </row>
    <row r="368" spans="1:4" ht="16.5" customHeight="1">
      <c r="A368" s="3"/>
      <c r="B368" s="3"/>
      <c r="C368" s="3"/>
      <c r="D368" s="3"/>
    </row>
    <row r="369" spans="1:4" ht="16.5" customHeight="1">
      <c r="A369" s="3"/>
      <c r="B369" s="3"/>
      <c r="C369" s="3"/>
      <c r="D369" s="3"/>
    </row>
    <row r="370" spans="1:4" ht="16.5" customHeight="1">
      <c r="A370" s="3"/>
      <c r="B370" s="3"/>
      <c r="C370" s="3"/>
      <c r="D370" s="3"/>
    </row>
    <row r="371" spans="1:4" ht="16.5" customHeight="1">
      <c r="A371" s="3"/>
      <c r="B371" s="3"/>
      <c r="C371" s="3"/>
      <c r="D371" s="3"/>
    </row>
    <row r="372" spans="1:4" ht="16.5" customHeight="1">
      <c r="A372" s="3"/>
      <c r="B372" s="3"/>
      <c r="C372" s="3"/>
      <c r="D372" s="3"/>
    </row>
    <row r="373" spans="1:4" ht="16.5" customHeight="1">
      <c r="A373" s="3"/>
      <c r="B373" s="3"/>
      <c r="C373" s="3"/>
      <c r="D373" s="3"/>
    </row>
    <row r="374" spans="1:4" ht="16.5" customHeight="1">
      <c r="A374" s="3"/>
      <c r="B374" s="3"/>
      <c r="C374" s="3"/>
      <c r="D374" s="3"/>
    </row>
    <row r="375" spans="1:4" ht="16.5" customHeight="1">
      <c r="A375" s="3"/>
      <c r="B375" s="3"/>
      <c r="C375" s="3"/>
      <c r="D375" s="3"/>
    </row>
    <row r="376" spans="1:4" ht="16.5" customHeight="1">
      <c r="A376" s="3"/>
      <c r="B376" s="3"/>
      <c r="C376" s="3"/>
      <c r="D376" s="3"/>
    </row>
    <row r="377" spans="1:4" ht="16.5" customHeight="1">
      <c r="A377" s="3"/>
      <c r="B377" s="3"/>
      <c r="C377" s="3"/>
      <c r="D377" s="3"/>
    </row>
    <row r="378" spans="1:4" ht="16.5" customHeight="1">
      <c r="A378" s="3"/>
      <c r="B378" s="3"/>
      <c r="C378" s="3"/>
      <c r="D378" s="3"/>
    </row>
    <row r="379" spans="1:4" ht="16.5" customHeight="1">
      <c r="A379" s="3"/>
      <c r="B379" s="3"/>
      <c r="C379" s="3"/>
      <c r="D379" s="3"/>
    </row>
    <row r="380" spans="1:4" ht="16.5" customHeight="1">
      <c r="A380" s="3"/>
      <c r="B380" s="3"/>
      <c r="C380" s="3"/>
      <c r="D380" s="3"/>
    </row>
    <row r="381" spans="1:4" ht="16.5" customHeight="1">
      <c r="A381" s="3"/>
      <c r="B381" s="3"/>
      <c r="C381" s="3"/>
      <c r="D381" s="3"/>
    </row>
    <row r="382" spans="1:4" ht="16.5" customHeight="1">
      <c r="A382" s="3"/>
      <c r="B382" s="3"/>
      <c r="C382" s="3"/>
      <c r="D382" s="3"/>
    </row>
    <row r="383" spans="1:4" ht="16.5" customHeight="1">
      <c r="A383" s="3"/>
      <c r="B383" s="3"/>
      <c r="C383" s="3"/>
      <c r="D383" s="3"/>
    </row>
    <row r="384" spans="1:4" ht="16.5" customHeight="1">
      <c r="A384" s="3"/>
      <c r="B384" s="3"/>
      <c r="C384" s="3"/>
      <c r="D384" s="3"/>
    </row>
    <row r="385" spans="1:4" ht="16.5" customHeight="1">
      <c r="A385" s="3"/>
      <c r="B385" s="3"/>
      <c r="C385" s="3"/>
      <c r="D385" s="3"/>
    </row>
    <row r="386" spans="1:4" ht="16.5" customHeight="1">
      <c r="A386" s="3"/>
      <c r="B386" s="3"/>
      <c r="C386" s="3"/>
      <c r="D386" s="3"/>
    </row>
    <row r="387" spans="1:4" ht="16.5" customHeight="1">
      <c r="A387" s="3"/>
      <c r="B387" s="3"/>
      <c r="C387" s="3"/>
      <c r="D387" s="3"/>
    </row>
    <row r="388" spans="1:4" ht="16.5" customHeight="1">
      <c r="A388" s="3"/>
      <c r="B388" s="3"/>
      <c r="C388" s="3"/>
      <c r="D388" s="3"/>
    </row>
    <row r="389" spans="1:4" ht="16.5" customHeight="1">
      <c r="A389" s="3"/>
      <c r="B389" s="3"/>
      <c r="C389" s="3"/>
      <c r="D389" s="3"/>
    </row>
    <row r="390" spans="1:4" ht="16.5" customHeight="1">
      <c r="A390" s="3"/>
      <c r="B390" s="3"/>
      <c r="C390" s="3"/>
      <c r="D390" s="3"/>
    </row>
    <row r="391" spans="1:4" ht="16.5" customHeight="1">
      <c r="A391" s="3"/>
      <c r="B391" s="3"/>
      <c r="C391" s="3"/>
      <c r="D391" s="3"/>
    </row>
    <row r="392" spans="1:4" ht="16.5" customHeight="1">
      <c r="A392" s="3"/>
      <c r="B392" s="3"/>
      <c r="C392" s="3"/>
      <c r="D392" s="3"/>
    </row>
    <row r="393" spans="1:4" ht="16.5" customHeight="1">
      <c r="A393" s="3"/>
      <c r="B393" s="3"/>
      <c r="C393" s="3"/>
      <c r="D393" s="3"/>
    </row>
    <row r="394" spans="1:4" ht="16.5" customHeight="1">
      <c r="A394" s="3"/>
      <c r="B394" s="3"/>
      <c r="C394" s="3"/>
      <c r="D394" s="3"/>
    </row>
    <row r="395" spans="1:4" ht="16.5" customHeight="1">
      <c r="A395" s="3"/>
      <c r="B395" s="3"/>
      <c r="C395" s="3"/>
      <c r="D395" s="3"/>
    </row>
    <row r="396" spans="1:4" ht="16.5" customHeight="1">
      <c r="A396" s="3"/>
      <c r="B396" s="3"/>
      <c r="C396" s="3"/>
      <c r="D396" s="3"/>
    </row>
    <row r="397" spans="1:4" ht="16.5" customHeight="1">
      <c r="A397" s="3"/>
      <c r="B397" s="3"/>
      <c r="C397" s="3"/>
      <c r="D397" s="3"/>
    </row>
    <row r="398" spans="1:4" ht="16.5" customHeight="1">
      <c r="A398" s="3"/>
      <c r="B398" s="3"/>
      <c r="C398" s="3"/>
      <c r="D398" s="3"/>
    </row>
    <row r="399" spans="1:4" ht="16.5" customHeight="1">
      <c r="A399" s="3"/>
      <c r="B399" s="3"/>
      <c r="C399" s="3"/>
      <c r="D399" s="3"/>
    </row>
    <row r="400" spans="1:4" ht="16.5" customHeight="1">
      <c r="A400" s="3"/>
      <c r="B400" s="3"/>
      <c r="C400" s="3"/>
      <c r="D400" s="3"/>
    </row>
    <row r="401" spans="1:4" ht="16.5" customHeight="1">
      <c r="A401" s="3"/>
      <c r="B401" s="3"/>
      <c r="C401" s="3"/>
      <c r="D401" s="3"/>
    </row>
    <row r="402" spans="1:4" ht="16.5" customHeight="1">
      <c r="A402" s="3"/>
      <c r="B402" s="3"/>
      <c r="C402" s="3"/>
      <c r="D402" s="3"/>
    </row>
    <row r="403" spans="1:4" ht="16.5" customHeight="1">
      <c r="A403" s="3"/>
      <c r="B403" s="3"/>
      <c r="C403" s="3"/>
      <c r="D403" s="3"/>
    </row>
    <row r="404" spans="1:4" ht="16.5" customHeight="1">
      <c r="A404" s="3"/>
      <c r="B404" s="3"/>
      <c r="C404" s="3"/>
      <c r="D404" s="3"/>
    </row>
    <row r="405" spans="1:4" ht="16.5" customHeight="1">
      <c r="A405" s="3"/>
      <c r="B405" s="3"/>
      <c r="C405" s="3"/>
      <c r="D405" s="3"/>
    </row>
    <row r="406" spans="1:4" ht="16.5" customHeight="1">
      <c r="A406" s="3"/>
      <c r="B406" s="3"/>
      <c r="C406" s="3"/>
      <c r="D406" s="3"/>
    </row>
    <row r="407" spans="1:4" ht="16.5" customHeight="1">
      <c r="A407" s="3"/>
      <c r="B407" s="3"/>
      <c r="C407" s="3"/>
      <c r="D407" s="3"/>
    </row>
    <row r="408" spans="1:4" ht="16.5" customHeight="1">
      <c r="A408" s="3"/>
      <c r="B408" s="3"/>
      <c r="C408" s="3"/>
      <c r="D408" s="3"/>
    </row>
    <row r="409" spans="1:4" ht="16.5" customHeight="1">
      <c r="A409" s="3"/>
      <c r="B409" s="3"/>
      <c r="C409" s="3"/>
      <c r="D409" s="3"/>
    </row>
    <row r="410" spans="1:4" ht="16.5" customHeight="1">
      <c r="A410" s="3"/>
      <c r="B410" s="3"/>
      <c r="C410" s="3"/>
      <c r="D410" s="3"/>
    </row>
    <row r="411" spans="1:4" ht="16.5" customHeight="1">
      <c r="A411" s="3"/>
      <c r="B411" s="3"/>
      <c r="C411" s="3"/>
      <c r="D411" s="3"/>
    </row>
    <row r="412" spans="1:4" ht="16.5" customHeight="1">
      <c r="A412" s="3"/>
      <c r="B412" s="3"/>
      <c r="C412" s="3"/>
      <c r="D412" s="3"/>
    </row>
    <row r="413" spans="1:4" ht="16.5" customHeight="1">
      <c r="A413" s="3"/>
      <c r="B413" s="3"/>
      <c r="C413" s="3"/>
      <c r="D413" s="3"/>
    </row>
    <row r="414" spans="1:4" ht="16.5" customHeight="1">
      <c r="A414" s="3"/>
      <c r="B414" s="3"/>
      <c r="C414" s="3"/>
      <c r="D414" s="3"/>
    </row>
    <row r="415" spans="1:4" ht="16.5" customHeight="1">
      <c r="A415" s="3"/>
      <c r="B415" s="3"/>
      <c r="C415" s="3"/>
      <c r="D415" s="3"/>
    </row>
    <row r="416" spans="1:4" ht="16.5" customHeight="1">
      <c r="A416" s="3"/>
      <c r="B416" s="3"/>
      <c r="C416" s="3"/>
      <c r="D416" s="3"/>
    </row>
    <row r="417" spans="1:4" ht="16.5" customHeight="1">
      <c r="A417" s="3"/>
      <c r="B417" s="3"/>
      <c r="C417" s="3"/>
      <c r="D417" s="3"/>
    </row>
    <row r="418" spans="1:4" ht="16.5" customHeight="1">
      <c r="A418" s="3"/>
      <c r="B418" s="3"/>
      <c r="C418" s="3"/>
      <c r="D418" s="3"/>
    </row>
    <row r="419" spans="1:4" ht="16.5" customHeight="1">
      <c r="A419" s="3"/>
      <c r="B419" s="3"/>
      <c r="C419" s="3"/>
      <c r="D419" s="3"/>
    </row>
    <row r="420" spans="1:4" ht="16.5" customHeight="1">
      <c r="A420" s="3"/>
      <c r="B420" s="3"/>
      <c r="C420" s="3"/>
      <c r="D420" s="3"/>
    </row>
    <row r="421" spans="1:4" ht="16.5" customHeight="1">
      <c r="A421" s="3"/>
      <c r="B421" s="3"/>
      <c r="C421" s="3"/>
      <c r="D421" s="3"/>
    </row>
    <row r="422" spans="1:4" ht="16.5" customHeight="1">
      <c r="A422" s="3"/>
      <c r="B422" s="3"/>
      <c r="C422" s="3"/>
      <c r="D422" s="3"/>
    </row>
    <row r="423" spans="1:4" ht="16.5" customHeight="1">
      <c r="A423" s="3"/>
      <c r="B423" s="3"/>
      <c r="C423" s="3"/>
      <c r="D423" s="3"/>
    </row>
    <row r="424" spans="1:4" ht="16.5" customHeight="1">
      <c r="A424" s="3"/>
      <c r="B424" s="3"/>
      <c r="C424" s="3"/>
      <c r="D424" s="3"/>
    </row>
    <row r="425" spans="1:4" ht="16.5" customHeight="1">
      <c r="A425" s="3"/>
      <c r="B425" s="3"/>
      <c r="C425" s="3"/>
      <c r="D425" s="3"/>
    </row>
    <row r="426" spans="1:4" ht="16.5" customHeight="1">
      <c r="A426" s="3"/>
      <c r="B426" s="3"/>
      <c r="C426" s="3"/>
      <c r="D426" s="3"/>
    </row>
    <row r="427" spans="1:4" ht="16.5" customHeight="1">
      <c r="A427" s="3"/>
      <c r="B427" s="3"/>
      <c r="C427" s="3"/>
      <c r="D427" s="3"/>
    </row>
    <row r="428" spans="1:4" ht="16.5" customHeight="1">
      <c r="A428" s="3"/>
      <c r="B428" s="3"/>
      <c r="C428" s="3"/>
      <c r="D428" s="3"/>
    </row>
    <row r="429" spans="1:4" ht="16.5" customHeight="1">
      <c r="A429" s="3"/>
      <c r="B429" s="3"/>
      <c r="C429" s="3"/>
      <c r="D429" s="3"/>
    </row>
    <row r="430" spans="1:4" ht="16.5" customHeight="1">
      <c r="A430" s="3"/>
      <c r="B430" s="3"/>
      <c r="C430" s="3"/>
      <c r="D430" s="3"/>
    </row>
    <row r="431" spans="1:4" ht="16.5" customHeight="1">
      <c r="A431" s="3"/>
      <c r="B431" s="3"/>
      <c r="C431" s="3"/>
      <c r="D431" s="3"/>
    </row>
    <row r="432" spans="1:4" ht="16.5" customHeight="1">
      <c r="A432" s="3"/>
      <c r="B432" s="3"/>
      <c r="C432" s="3"/>
      <c r="D432" s="3"/>
    </row>
    <row r="433" spans="1:4" ht="16.5" customHeight="1">
      <c r="A433" s="3"/>
      <c r="B433" s="3"/>
      <c r="C433" s="3"/>
      <c r="D433" s="3"/>
    </row>
    <row r="434" spans="1:4" ht="16.5" customHeight="1">
      <c r="A434" s="3"/>
      <c r="B434" s="3"/>
      <c r="C434" s="3"/>
      <c r="D434" s="3"/>
    </row>
    <row r="435" spans="1:4" ht="16.5" customHeight="1">
      <c r="A435" s="3"/>
      <c r="B435" s="3"/>
      <c r="C435" s="3"/>
      <c r="D435" s="3"/>
    </row>
    <row r="436" spans="1:4" ht="16.5" customHeight="1">
      <c r="A436" s="3"/>
      <c r="B436" s="3"/>
      <c r="C436" s="3"/>
      <c r="D436" s="3"/>
    </row>
    <row r="437" spans="1:4" ht="16.5" customHeight="1">
      <c r="A437" s="3"/>
      <c r="B437" s="3"/>
      <c r="C437" s="3"/>
      <c r="D437" s="3"/>
    </row>
    <row r="438" spans="1:4" ht="16.5" customHeight="1">
      <c r="A438" s="3"/>
      <c r="B438" s="3"/>
      <c r="C438" s="3"/>
      <c r="D438" s="3"/>
    </row>
    <row r="439" spans="1:4" ht="16.5" customHeight="1">
      <c r="A439" s="3"/>
      <c r="B439" s="3"/>
      <c r="C439" s="3"/>
      <c r="D439" s="3"/>
    </row>
    <row r="440" spans="1:4" ht="16.5" customHeight="1">
      <c r="A440" s="3"/>
      <c r="B440" s="3"/>
      <c r="C440" s="3"/>
      <c r="D440" s="3"/>
    </row>
    <row r="441" spans="1:4" ht="16.5" customHeight="1">
      <c r="A441" s="3"/>
      <c r="B441" s="3"/>
      <c r="C441" s="3"/>
      <c r="D441" s="3"/>
    </row>
    <row r="442" spans="1:4" ht="16.5" customHeight="1">
      <c r="A442" s="3"/>
      <c r="B442" s="3"/>
      <c r="C442" s="3"/>
      <c r="D442" s="3"/>
    </row>
    <row r="443" spans="1:4" ht="16.5" customHeight="1">
      <c r="A443" s="3"/>
      <c r="B443" s="3"/>
      <c r="C443" s="3"/>
      <c r="D443" s="3"/>
    </row>
    <row r="444" spans="1:4" ht="16.5" customHeight="1">
      <c r="A444" s="3"/>
      <c r="B444" s="3"/>
      <c r="C444" s="3"/>
      <c r="D444" s="3"/>
    </row>
    <row r="445" spans="1:4" ht="16.5" customHeight="1">
      <c r="A445" s="3"/>
      <c r="B445" s="3"/>
      <c r="C445" s="3"/>
      <c r="D445" s="3"/>
    </row>
    <row r="446" spans="1:4" ht="16.5" customHeight="1">
      <c r="A446" s="3"/>
      <c r="B446" s="3"/>
      <c r="C446" s="3"/>
      <c r="D446" s="3"/>
    </row>
    <row r="447" spans="1:4" ht="16.5" customHeight="1">
      <c r="A447" s="3"/>
      <c r="B447" s="3"/>
      <c r="C447" s="3"/>
      <c r="D447" s="3"/>
    </row>
    <row r="448" spans="1:4" ht="16.5" customHeight="1">
      <c r="A448" s="3"/>
      <c r="B448" s="3"/>
      <c r="C448" s="3"/>
      <c r="D448" s="3"/>
    </row>
    <row r="449" spans="1:4" ht="16.5" customHeight="1">
      <c r="A449" s="3"/>
      <c r="B449" s="3"/>
      <c r="C449" s="3"/>
      <c r="D449" s="3"/>
    </row>
    <row r="450" spans="1:4" ht="16.5" customHeight="1">
      <c r="A450" s="3"/>
      <c r="B450" s="3"/>
      <c r="C450" s="3"/>
      <c r="D450" s="3"/>
    </row>
    <row r="451" spans="1:4" ht="16.5" customHeight="1">
      <c r="A451" s="3"/>
      <c r="B451" s="3"/>
      <c r="C451" s="3"/>
      <c r="D451" s="3"/>
    </row>
    <row r="452" spans="1:4" ht="16.5" customHeight="1">
      <c r="A452" s="3"/>
      <c r="B452" s="3"/>
      <c r="C452" s="3"/>
      <c r="D452" s="3"/>
    </row>
    <row r="453" spans="1:4" ht="16.5" customHeight="1">
      <c r="A453" s="3"/>
      <c r="B453" s="3"/>
      <c r="C453" s="3"/>
      <c r="D453" s="3"/>
    </row>
    <row r="454" spans="1:4" ht="16.5" customHeight="1">
      <c r="A454" s="3"/>
      <c r="B454" s="3"/>
      <c r="C454" s="3"/>
      <c r="D454" s="3"/>
    </row>
    <row r="455" spans="1:4" ht="16.5" customHeight="1">
      <c r="A455" s="3"/>
      <c r="B455" s="3"/>
      <c r="C455" s="3"/>
      <c r="D455" s="3"/>
    </row>
    <row r="456" spans="1:4" ht="16.5" customHeight="1">
      <c r="A456" s="3"/>
      <c r="B456" s="3"/>
      <c r="C456" s="3"/>
      <c r="D456" s="3"/>
    </row>
    <row r="457" spans="1:4" ht="16.5" customHeight="1">
      <c r="A457" s="3"/>
      <c r="B457" s="3"/>
      <c r="C457" s="3"/>
      <c r="D457" s="3"/>
    </row>
    <row r="458" spans="1:4" ht="16.5" customHeight="1">
      <c r="A458" s="3"/>
      <c r="B458" s="3"/>
      <c r="C458" s="3"/>
      <c r="D458" s="3"/>
    </row>
    <row r="459" spans="1:4" ht="16.5" customHeight="1">
      <c r="A459" s="3"/>
      <c r="B459" s="3"/>
      <c r="C459" s="3"/>
      <c r="D459" s="3"/>
    </row>
    <row r="460" spans="1:4" ht="16.5" customHeight="1">
      <c r="A460" s="3"/>
      <c r="B460" s="3"/>
      <c r="C460" s="3"/>
      <c r="D460" s="3"/>
    </row>
    <row r="461" spans="1:4" ht="16.5" customHeight="1">
      <c r="A461" s="3"/>
      <c r="B461" s="3"/>
      <c r="C461" s="3"/>
      <c r="D461" s="3"/>
    </row>
    <row r="462" spans="1:4" ht="16.5" customHeight="1">
      <c r="A462" s="3"/>
      <c r="B462" s="3"/>
      <c r="C462" s="3"/>
      <c r="D462" s="3"/>
    </row>
    <row r="463" spans="1:4" ht="16.5" customHeight="1">
      <c r="A463" s="3"/>
      <c r="B463" s="3"/>
      <c r="C463" s="3"/>
      <c r="D463" s="3"/>
    </row>
    <row r="464" spans="1:4" ht="16.5" customHeight="1">
      <c r="A464" s="3"/>
      <c r="B464" s="3"/>
      <c r="C464" s="3"/>
      <c r="D464" s="3"/>
    </row>
    <row r="465" spans="1:4" ht="16.5" customHeight="1">
      <c r="A465" s="3"/>
      <c r="B465" s="3"/>
      <c r="C465" s="3"/>
      <c r="D465" s="3"/>
    </row>
    <row r="466" spans="1:4" ht="16.5" customHeight="1">
      <c r="A466" s="3"/>
      <c r="B466" s="3"/>
      <c r="C466" s="3"/>
      <c r="D466" s="3"/>
    </row>
    <row r="467" spans="1:4" ht="16.5" customHeight="1">
      <c r="A467" s="3"/>
      <c r="B467" s="3"/>
      <c r="C467" s="3"/>
      <c r="D467" s="3"/>
    </row>
    <row r="468" spans="1:4" ht="16.5" customHeight="1">
      <c r="A468" s="3"/>
      <c r="B468" s="3"/>
      <c r="C468" s="3"/>
      <c r="D468" s="3"/>
    </row>
    <row r="469" spans="1:4" ht="16.5" customHeight="1">
      <c r="A469" s="3"/>
      <c r="B469" s="3"/>
      <c r="C469" s="3"/>
      <c r="D469" s="3"/>
    </row>
    <row r="470" spans="1:4" ht="16.5" customHeight="1">
      <c r="A470" s="3"/>
      <c r="B470" s="3"/>
      <c r="C470" s="3"/>
      <c r="D470" s="3"/>
    </row>
    <row r="471" spans="1:4" ht="16.5" customHeight="1">
      <c r="A471" s="3"/>
      <c r="B471" s="3"/>
      <c r="C471" s="3"/>
      <c r="D471" s="3"/>
    </row>
    <row r="472" spans="1:4" ht="16.5" customHeight="1">
      <c r="A472" s="3"/>
      <c r="B472" s="3"/>
      <c r="C472" s="3"/>
      <c r="D472" s="3"/>
    </row>
    <row r="473" spans="1:4" ht="16.5" customHeight="1">
      <c r="A473" s="3"/>
      <c r="B473" s="3"/>
      <c r="C473" s="3"/>
      <c r="D473" s="3"/>
    </row>
    <row r="474" spans="1:4" ht="16.5" customHeight="1">
      <c r="A474" s="3"/>
      <c r="B474" s="3"/>
      <c r="C474" s="3"/>
      <c r="D474" s="3"/>
    </row>
    <row r="475" spans="1:4" ht="16.5" customHeight="1">
      <c r="A475" s="3"/>
      <c r="B475" s="3"/>
      <c r="C475" s="3"/>
      <c r="D475" s="3"/>
    </row>
    <row r="476" spans="1:4" ht="16.5" customHeight="1">
      <c r="A476" s="3"/>
      <c r="B476" s="3"/>
      <c r="C476" s="3"/>
      <c r="D476" s="3"/>
    </row>
    <row r="477" spans="1:4" ht="16.5" customHeight="1">
      <c r="A477" s="3"/>
      <c r="B477" s="3"/>
      <c r="C477" s="3"/>
      <c r="D477" s="3"/>
    </row>
    <row r="478" spans="1:4" ht="16.5" customHeight="1">
      <c r="A478" s="3"/>
      <c r="B478" s="3"/>
      <c r="C478" s="3"/>
      <c r="D478" s="3"/>
    </row>
    <row r="479" spans="1:4" ht="16.5" customHeight="1">
      <c r="A479" s="3"/>
      <c r="B479" s="3"/>
      <c r="C479" s="3"/>
      <c r="D479" s="3"/>
    </row>
    <row r="480" spans="1:4" ht="16.5" customHeight="1">
      <c r="A480" s="3"/>
      <c r="B480" s="3"/>
      <c r="C480" s="3"/>
      <c r="D480" s="3"/>
    </row>
    <row r="481" spans="1:4" ht="16.5" customHeight="1">
      <c r="A481" s="3"/>
      <c r="B481" s="3"/>
      <c r="C481" s="3"/>
      <c r="D481" s="3"/>
    </row>
    <row r="482" spans="1:4" ht="16.5" customHeight="1">
      <c r="A482" s="3"/>
      <c r="B482" s="3"/>
      <c r="C482" s="3"/>
      <c r="D482" s="3"/>
    </row>
    <row r="483" spans="1:4" ht="16.5" customHeight="1">
      <c r="A483" s="3"/>
      <c r="B483" s="3"/>
      <c r="C483" s="3"/>
      <c r="D483" s="3"/>
    </row>
    <row r="484" spans="1:4" ht="16.5" customHeight="1">
      <c r="A484" s="3"/>
      <c r="B484" s="3"/>
      <c r="C484" s="3"/>
      <c r="D484" s="3"/>
    </row>
    <row r="485" spans="1:4" ht="16.5" customHeight="1">
      <c r="A485" s="3"/>
      <c r="B485" s="3"/>
      <c r="C485" s="3"/>
      <c r="D485" s="3"/>
    </row>
    <row r="486" spans="1:4" ht="16.5" customHeight="1">
      <c r="A486" s="3"/>
      <c r="B486" s="3"/>
      <c r="C486" s="3"/>
      <c r="D486" s="3"/>
    </row>
    <row r="487" spans="1:4" ht="16.5" customHeight="1">
      <c r="A487" s="3"/>
      <c r="B487" s="3"/>
      <c r="C487" s="3"/>
      <c r="D487" s="3"/>
    </row>
    <row r="488" spans="1:4" ht="16.5" customHeight="1">
      <c r="A488" s="3"/>
      <c r="B488" s="3"/>
      <c r="C488" s="3"/>
      <c r="D488" s="3"/>
    </row>
    <row r="489" spans="1:4" ht="16.5" customHeight="1">
      <c r="A489" s="3"/>
      <c r="B489" s="3"/>
      <c r="C489" s="3"/>
      <c r="D489" s="3"/>
    </row>
    <row r="490" spans="1:4" ht="16.5" customHeight="1">
      <c r="A490" s="3"/>
      <c r="B490" s="3"/>
      <c r="C490" s="3"/>
      <c r="D490" s="3"/>
    </row>
    <row r="491" spans="1:4" ht="16.5" customHeight="1">
      <c r="A491" s="3"/>
      <c r="B491" s="3"/>
      <c r="C491" s="3"/>
      <c r="D491" s="3"/>
    </row>
    <row r="492" spans="1:4" ht="16.5" customHeight="1">
      <c r="A492" s="3"/>
      <c r="B492" s="3"/>
      <c r="C492" s="3"/>
      <c r="D492" s="3"/>
    </row>
    <row r="493" spans="1:4" ht="16.5" customHeight="1">
      <c r="A493" s="3"/>
      <c r="B493" s="3"/>
      <c r="C493" s="3"/>
      <c r="D493" s="3"/>
    </row>
    <row r="494" spans="1:4" ht="16.5" customHeight="1">
      <c r="A494" s="3"/>
      <c r="B494" s="3"/>
      <c r="C494" s="3"/>
      <c r="D494" s="3"/>
    </row>
    <row r="495" spans="1:4" ht="16.5" customHeight="1">
      <c r="A495" s="3"/>
      <c r="B495" s="3"/>
      <c r="C495" s="3"/>
      <c r="D495" s="3"/>
    </row>
    <row r="496" spans="1:4" ht="16.5" customHeight="1">
      <c r="A496" s="3"/>
      <c r="B496" s="3"/>
      <c r="C496" s="3"/>
      <c r="D496" s="3"/>
    </row>
    <row r="497" spans="1:4" ht="16.5" customHeight="1">
      <c r="A497" s="3"/>
      <c r="B497" s="3"/>
      <c r="C497" s="3"/>
      <c r="D497" s="3"/>
    </row>
    <row r="498" spans="1:4" ht="16.5" customHeight="1">
      <c r="A498" s="3"/>
      <c r="B498" s="3"/>
      <c r="C498" s="3"/>
      <c r="D498" s="3"/>
    </row>
    <row r="499" spans="1:4" ht="16.5" customHeight="1">
      <c r="A499" s="3"/>
      <c r="B499" s="3"/>
      <c r="C499" s="3"/>
      <c r="D499" s="3"/>
    </row>
    <row r="500" spans="1:4" ht="16.5" customHeight="1">
      <c r="A500" s="3"/>
      <c r="B500" s="3"/>
      <c r="C500" s="3"/>
      <c r="D500" s="3"/>
    </row>
    <row r="501" spans="1:4" ht="16.5" customHeight="1">
      <c r="A501" s="3"/>
      <c r="B501" s="3"/>
      <c r="C501" s="3"/>
      <c r="D501" s="3"/>
    </row>
    <row r="502" spans="1:4" ht="16.5" customHeight="1">
      <c r="A502" s="3"/>
      <c r="B502" s="3"/>
      <c r="C502" s="3"/>
      <c r="D502" s="3"/>
    </row>
    <row r="503" spans="1:4" ht="16.5" customHeight="1">
      <c r="A503" s="3"/>
      <c r="B503" s="3"/>
      <c r="C503" s="3"/>
      <c r="D503" s="3"/>
    </row>
    <row r="504" spans="1:4" ht="16.5" customHeight="1">
      <c r="A504" s="3"/>
      <c r="B504" s="3"/>
      <c r="C504" s="3"/>
      <c r="D504" s="3"/>
    </row>
    <row r="505" spans="1:4" ht="16.5" customHeight="1">
      <c r="A505" s="3"/>
      <c r="B505" s="3"/>
      <c r="C505" s="3"/>
      <c r="D505" s="3"/>
    </row>
    <row r="506" spans="1:4" ht="16.5" customHeight="1">
      <c r="A506" s="3"/>
      <c r="B506" s="3"/>
      <c r="C506" s="3"/>
      <c r="D506" s="3"/>
    </row>
    <row r="507" spans="1:4" ht="16.5" customHeight="1">
      <c r="A507" s="3"/>
      <c r="B507" s="3"/>
      <c r="C507" s="3"/>
      <c r="D507" s="3"/>
    </row>
    <row r="508" spans="1:4" ht="16.5" customHeight="1">
      <c r="A508" s="3"/>
      <c r="B508" s="3"/>
      <c r="C508" s="3"/>
      <c r="D508" s="3"/>
    </row>
    <row r="509" spans="1:4" ht="16.5" customHeight="1">
      <c r="A509" s="3"/>
      <c r="B509" s="3"/>
      <c r="C509" s="3"/>
      <c r="D509" s="3"/>
    </row>
    <row r="510" spans="1:4" ht="16.5" customHeight="1">
      <c r="A510" s="3"/>
      <c r="B510" s="3"/>
      <c r="C510" s="3"/>
      <c r="D510" s="3"/>
    </row>
    <row r="511" spans="1:4" ht="16.5" customHeight="1">
      <c r="A511" s="3"/>
      <c r="B511" s="3"/>
      <c r="C511" s="3"/>
      <c r="D511" s="3"/>
    </row>
    <row r="512" spans="1:4" ht="16.5" customHeight="1">
      <c r="A512" s="3"/>
      <c r="B512" s="3"/>
      <c r="C512" s="3"/>
      <c r="D512" s="3"/>
    </row>
    <row r="513" spans="1:4" ht="16.5" customHeight="1">
      <c r="A513" s="3"/>
      <c r="B513" s="3"/>
      <c r="C513" s="3"/>
      <c r="D513" s="3"/>
    </row>
    <row r="514" spans="1:4" ht="16.5" customHeight="1">
      <c r="A514" s="3"/>
      <c r="B514" s="3"/>
      <c r="C514" s="3"/>
      <c r="D514" s="3"/>
    </row>
    <row r="515" spans="1:4" ht="16.5" customHeight="1">
      <c r="A515" s="3"/>
      <c r="B515" s="3"/>
      <c r="C515" s="3"/>
      <c r="D515" s="3"/>
    </row>
    <row r="516" spans="1:4" ht="16.5" customHeight="1">
      <c r="A516" s="3"/>
      <c r="B516" s="3"/>
      <c r="C516" s="3"/>
      <c r="D516" s="3"/>
    </row>
    <row r="517" spans="1:4" ht="16.5" customHeight="1">
      <c r="A517" s="3"/>
      <c r="B517" s="3"/>
      <c r="C517" s="3"/>
      <c r="D517" s="3"/>
    </row>
    <row r="518" spans="1:4" ht="16.5" customHeight="1">
      <c r="A518" s="3"/>
      <c r="B518" s="3"/>
      <c r="C518" s="3"/>
      <c r="D518" s="3"/>
    </row>
    <row r="519" spans="1:4" ht="16.5" customHeight="1">
      <c r="A519" s="3"/>
      <c r="B519" s="3"/>
      <c r="C519" s="3"/>
      <c r="D519" s="3"/>
    </row>
    <row r="520" spans="1:4" ht="16.5" customHeight="1">
      <c r="A520" s="3"/>
      <c r="B520" s="3"/>
      <c r="C520" s="3"/>
      <c r="D520" s="3"/>
    </row>
    <row r="521" spans="1:4" ht="16.5" customHeight="1">
      <c r="A521" s="3"/>
      <c r="B521" s="3"/>
      <c r="C521" s="3"/>
      <c r="D521" s="3"/>
    </row>
    <row r="522" spans="1:4" ht="16.5" customHeight="1">
      <c r="A522" s="3"/>
      <c r="B522" s="3"/>
      <c r="C522" s="3"/>
      <c r="D522" s="3"/>
    </row>
    <row r="523" spans="1:4" ht="16.5" customHeight="1">
      <c r="A523" s="3"/>
      <c r="B523" s="3"/>
      <c r="C523" s="3"/>
      <c r="D523" s="3"/>
    </row>
    <row r="524" spans="1:4" ht="16.5" customHeight="1">
      <c r="A524" s="3"/>
      <c r="B524" s="3"/>
      <c r="C524" s="3"/>
      <c r="D524" s="3"/>
    </row>
    <row r="525" spans="1:4" ht="16.5" customHeight="1">
      <c r="A525" s="3"/>
      <c r="B525" s="3"/>
      <c r="C525" s="3"/>
      <c r="D525" s="3"/>
    </row>
    <row r="526" spans="1:4" ht="16.5" customHeight="1">
      <c r="A526" s="3"/>
      <c r="B526" s="3"/>
      <c r="C526" s="3"/>
      <c r="D526" s="3"/>
    </row>
    <row r="527" spans="1:4" ht="16.5" customHeight="1">
      <c r="A527" s="3"/>
      <c r="B527" s="3"/>
      <c r="C527" s="3"/>
      <c r="D527" s="3"/>
    </row>
    <row r="528" spans="1:4" ht="16.5" customHeight="1">
      <c r="A528" s="3"/>
      <c r="B528" s="3"/>
      <c r="C528" s="3"/>
      <c r="D528" s="3"/>
    </row>
    <row r="529" spans="1:4" ht="16.5" customHeight="1">
      <c r="A529" s="3"/>
      <c r="B529" s="3"/>
      <c r="C529" s="3"/>
      <c r="D529" s="3"/>
    </row>
    <row r="530" spans="1:4" ht="16.5" customHeight="1">
      <c r="A530" s="3"/>
      <c r="B530" s="3"/>
      <c r="C530" s="3"/>
      <c r="D530" s="3"/>
    </row>
    <row r="531" spans="1:4" ht="16.5" customHeight="1">
      <c r="A531" s="3"/>
      <c r="B531" s="3"/>
      <c r="C531" s="3"/>
      <c r="D531" s="3"/>
    </row>
    <row r="532" spans="1:4" ht="16.5" customHeight="1">
      <c r="A532" s="3"/>
      <c r="B532" s="3"/>
      <c r="C532" s="3"/>
      <c r="D532" s="3"/>
    </row>
    <row r="533" spans="1:4" ht="16.5" customHeight="1">
      <c r="A533" s="3"/>
      <c r="B533" s="3"/>
      <c r="C533" s="3"/>
      <c r="D533" s="3"/>
    </row>
    <row r="534" spans="1:4" ht="16.5" customHeight="1">
      <c r="A534" s="3"/>
      <c r="B534" s="3"/>
      <c r="C534" s="3"/>
      <c r="D534" s="3"/>
    </row>
    <row r="535" spans="1:4" ht="16.5" customHeight="1">
      <c r="A535" s="3"/>
      <c r="B535" s="3"/>
      <c r="C535" s="3"/>
      <c r="D535" s="3"/>
    </row>
    <row r="536" spans="1:4" ht="16.5" customHeight="1">
      <c r="A536" s="3"/>
      <c r="B536" s="3"/>
      <c r="C536" s="3"/>
      <c r="D536" s="3"/>
    </row>
    <row r="537" spans="1:4" ht="16.5" customHeight="1">
      <c r="A537" s="3"/>
      <c r="B537" s="3"/>
      <c r="C537" s="3"/>
      <c r="D537" s="3"/>
    </row>
    <row r="538" spans="1:4" ht="16.5" customHeight="1">
      <c r="A538" s="3"/>
      <c r="B538" s="3"/>
      <c r="C538" s="3"/>
      <c r="D538" s="3"/>
    </row>
    <row r="539" spans="1:4" ht="16.5" customHeight="1">
      <c r="A539" s="3"/>
      <c r="B539" s="3"/>
      <c r="C539" s="3"/>
      <c r="D539" s="3"/>
    </row>
    <row r="540" spans="1:4" ht="16.5" customHeight="1">
      <c r="A540" s="3"/>
      <c r="B540" s="3"/>
      <c r="C540" s="3"/>
      <c r="D540" s="3"/>
    </row>
    <row r="541" spans="1:4" ht="16.5" customHeight="1">
      <c r="A541" s="3"/>
      <c r="B541" s="3"/>
      <c r="C541" s="3"/>
      <c r="D541" s="3"/>
    </row>
    <row r="542" spans="1:4" ht="16.5" customHeight="1">
      <c r="A542" s="3"/>
      <c r="B542" s="3"/>
      <c r="C542" s="3"/>
      <c r="D542" s="3"/>
    </row>
    <row r="543" spans="1:4" ht="16.5" customHeight="1">
      <c r="A543" s="3"/>
      <c r="B543" s="3"/>
      <c r="C543" s="3"/>
      <c r="D543" s="3"/>
    </row>
    <row r="544" spans="1:4" ht="16.5" customHeight="1">
      <c r="A544" s="3"/>
      <c r="B544" s="3"/>
      <c r="C544" s="3"/>
      <c r="D544" s="3"/>
    </row>
    <row r="545" spans="1:4" ht="16.5" customHeight="1">
      <c r="A545" s="3"/>
      <c r="B545" s="3"/>
      <c r="C545" s="3"/>
      <c r="D545" s="3"/>
    </row>
    <row r="546" spans="1:4" ht="16.5" customHeight="1">
      <c r="A546" s="3"/>
      <c r="B546" s="3"/>
      <c r="C546" s="3"/>
      <c r="D546" s="3"/>
    </row>
    <row r="547" spans="1:4" ht="16.5" customHeight="1">
      <c r="A547" s="3"/>
      <c r="B547" s="3"/>
      <c r="C547" s="3"/>
      <c r="D547" s="3"/>
    </row>
    <row r="548" spans="1:4" ht="16.5" customHeight="1">
      <c r="A548" s="3"/>
      <c r="B548" s="3"/>
      <c r="C548" s="3"/>
      <c r="D548" s="3"/>
    </row>
    <row r="549" spans="1:4" ht="16.5" customHeight="1">
      <c r="A549" s="3"/>
      <c r="B549" s="3"/>
      <c r="C549" s="3"/>
      <c r="D549" s="3"/>
    </row>
    <row r="550" spans="1:4" ht="16.5" customHeight="1">
      <c r="A550" s="3"/>
      <c r="B550" s="3"/>
      <c r="C550" s="3"/>
      <c r="D550" s="3"/>
    </row>
    <row r="551" spans="1:4" ht="16.5" customHeight="1">
      <c r="A551" s="3"/>
      <c r="B551" s="3"/>
      <c r="C551" s="3"/>
      <c r="D551" s="3"/>
    </row>
    <row r="552" spans="1:4" ht="16.5" customHeight="1">
      <c r="A552" s="3"/>
      <c r="B552" s="3"/>
      <c r="C552" s="3"/>
      <c r="D552" s="3"/>
    </row>
    <row r="553" spans="1:4" ht="16.5" customHeight="1">
      <c r="A553" s="3"/>
      <c r="B553" s="3"/>
      <c r="C553" s="3"/>
      <c r="D553" s="3"/>
    </row>
    <row r="554" spans="1:4" ht="16.5" customHeight="1">
      <c r="A554" s="3"/>
      <c r="B554" s="3"/>
      <c r="C554" s="3"/>
      <c r="D554" s="3"/>
    </row>
    <row r="555" spans="1:4" ht="16.5" customHeight="1">
      <c r="A555" s="3"/>
      <c r="B555" s="3"/>
      <c r="C555" s="3"/>
      <c r="D555" s="3"/>
    </row>
    <row r="556" spans="1:4" ht="16.5" customHeight="1">
      <c r="A556" s="3"/>
      <c r="B556" s="3"/>
      <c r="C556" s="3"/>
      <c r="D556" s="3"/>
    </row>
    <row r="557" spans="1:4" ht="16.5" customHeight="1">
      <c r="A557" s="3"/>
      <c r="B557" s="3"/>
      <c r="C557" s="3"/>
      <c r="D557" s="3"/>
    </row>
    <row r="558" spans="1:4" ht="16.5" customHeight="1">
      <c r="A558" s="3"/>
      <c r="B558" s="3"/>
      <c r="C558" s="3"/>
      <c r="D558" s="3"/>
    </row>
    <row r="559" spans="1:4" ht="16.5" customHeight="1">
      <c r="A559" s="3"/>
      <c r="B559" s="3"/>
      <c r="C559" s="3"/>
      <c r="D559" s="3"/>
    </row>
    <row r="560" spans="1:4" ht="16.5" customHeight="1">
      <c r="A560" s="3"/>
      <c r="B560" s="3"/>
      <c r="C560" s="3"/>
      <c r="D560" s="3"/>
    </row>
    <row r="561" spans="1:4" ht="16.5" customHeight="1">
      <c r="A561" s="3"/>
      <c r="B561" s="3"/>
      <c r="C561" s="3"/>
      <c r="D561" s="3"/>
    </row>
    <row r="562" spans="1:4" ht="16.5" customHeight="1">
      <c r="A562" s="3"/>
      <c r="B562" s="3"/>
      <c r="C562" s="3"/>
      <c r="D562" s="3"/>
    </row>
    <row r="563" spans="1:4" ht="16.5" customHeight="1">
      <c r="A563" s="3"/>
      <c r="B563" s="3"/>
      <c r="C563" s="3"/>
      <c r="D563" s="3"/>
    </row>
    <row r="564" spans="1:4" ht="16.5" customHeight="1">
      <c r="A564" s="3"/>
      <c r="B564" s="3"/>
      <c r="C564" s="3"/>
      <c r="D564" s="3"/>
    </row>
    <row r="565" spans="1:4" ht="16.5" customHeight="1">
      <c r="A565" s="3"/>
      <c r="B565" s="3"/>
      <c r="C565" s="3"/>
      <c r="D565" s="3"/>
    </row>
    <row r="566" spans="1:4" ht="16.5" customHeight="1">
      <c r="A566" s="3"/>
      <c r="B566" s="3"/>
      <c r="C566" s="3"/>
      <c r="D566" s="3"/>
    </row>
    <row r="567" spans="1:4" ht="16.5" customHeight="1">
      <c r="A567" s="3"/>
      <c r="B567" s="3"/>
      <c r="C567" s="3"/>
      <c r="D567" s="3"/>
    </row>
    <row r="568" spans="1:4" ht="16.5" customHeight="1">
      <c r="A568" s="3"/>
      <c r="B568" s="3"/>
      <c r="C568" s="3"/>
      <c r="D568" s="3"/>
    </row>
    <row r="569" spans="1:4" ht="16.5" customHeight="1">
      <c r="A569" s="3"/>
      <c r="B569" s="3"/>
      <c r="C569" s="3"/>
      <c r="D569" s="3"/>
    </row>
    <row r="570" spans="1:4" ht="16.5" customHeight="1">
      <c r="A570" s="3"/>
      <c r="B570" s="3"/>
      <c r="C570" s="3"/>
      <c r="D570" s="3"/>
    </row>
    <row r="571" spans="1:4" ht="16.5" customHeight="1">
      <c r="A571" s="3"/>
      <c r="B571" s="3"/>
      <c r="C571" s="3"/>
      <c r="D571" s="3"/>
    </row>
    <row r="572" spans="1:4" ht="16.5" customHeight="1">
      <c r="A572" s="3"/>
      <c r="B572" s="3"/>
      <c r="C572" s="3"/>
      <c r="D572" s="3"/>
    </row>
    <row r="573" spans="1:4" ht="16.5" customHeight="1">
      <c r="A573" s="3"/>
      <c r="B573" s="3"/>
      <c r="C573" s="3"/>
      <c r="D573" s="3"/>
    </row>
    <row r="574" spans="1:4" ht="16.5" customHeight="1">
      <c r="A574" s="3"/>
      <c r="B574" s="3"/>
      <c r="C574" s="3"/>
      <c r="D574" s="3"/>
    </row>
    <row r="575" spans="1:4" ht="16.5" customHeight="1">
      <c r="A575" s="3"/>
      <c r="B575" s="3"/>
      <c r="C575" s="3"/>
      <c r="D575" s="3"/>
    </row>
    <row r="576" spans="1:4" ht="16.5" customHeight="1">
      <c r="A576" s="3"/>
      <c r="B576" s="3"/>
      <c r="C576" s="3"/>
      <c r="D576" s="3"/>
    </row>
    <row r="577" spans="1:4" ht="16.5" customHeight="1">
      <c r="A577" s="3"/>
      <c r="B577" s="3"/>
      <c r="C577" s="3"/>
      <c r="D577" s="3"/>
    </row>
    <row r="578" spans="1:4" ht="16.5" customHeight="1">
      <c r="A578" s="3"/>
      <c r="B578" s="3"/>
      <c r="C578" s="3"/>
      <c r="D578" s="3"/>
    </row>
    <row r="579" spans="1:4" ht="16.5" customHeight="1">
      <c r="A579" s="3"/>
      <c r="B579" s="3"/>
      <c r="C579" s="3"/>
      <c r="D579" s="3"/>
    </row>
    <row r="580" spans="1:4" ht="16.5" customHeight="1">
      <c r="A580" s="3"/>
      <c r="B580" s="3"/>
      <c r="C580" s="3"/>
      <c r="D580" s="3"/>
    </row>
    <row r="581" spans="1:4" ht="16.5" customHeight="1">
      <c r="A581" s="3"/>
      <c r="B581" s="3"/>
      <c r="C581" s="3"/>
      <c r="D581" s="3"/>
    </row>
    <row r="582" spans="1:4" ht="16.5" customHeight="1">
      <c r="A582" s="3"/>
      <c r="B582" s="3"/>
      <c r="C582" s="3"/>
      <c r="D582" s="3"/>
    </row>
    <row r="583" spans="1:4" ht="16.5" customHeight="1">
      <c r="A583" s="3"/>
      <c r="B583" s="3"/>
      <c r="C583" s="3"/>
      <c r="D583" s="3"/>
    </row>
    <row r="584" spans="1:4" ht="16.5" customHeight="1">
      <c r="A584" s="3"/>
      <c r="B584" s="3"/>
      <c r="C584" s="3"/>
      <c r="D584" s="3"/>
    </row>
    <row r="585" spans="1:4" ht="16.5" customHeight="1">
      <c r="A585" s="3"/>
      <c r="B585" s="3"/>
      <c r="C585" s="3"/>
      <c r="D585" s="3"/>
    </row>
    <row r="586" spans="1:4" ht="16.5" customHeight="1">
      <c r="A586" s="3"/>
      <c r="B586" s="3"/>
      <c r="C586" s="3"/>
      <c r="D586" s="3"/>
    </row>
    <row r="587" spans="1:4" ht="16.5" customHeight="1">
      <c r="A587" s="3"/>
      <c r="B587" s="3"/>
      <c r="C587" s="3"/>
      <c r="D587" s="3"/>
    </row>
    <row r="588" spans="1:4" ht="16.5" customHeight="1">
      <c r="A588" s="3"/>
      <c r="B588" s="3"/>
      <c r="C588" s="3"/>
      <c r="D588" s="3"/>
    </row>
    <row r="589" spans="1:4" ht="16.5" customHeight="1">
      <c r="A589" s="3"/>
      <c r="B589" s="3"/>
      <c r="C589" s="3"/>
      <c r="D589" s="3"/>
    </row>
    <row r="590" spans="1:4" ht="16.5" customHeight="1">
      <c r="A590" s="3"/>
      <c r="B590" s="3"/>
      <c r="C590" s="3"/>
      <c r="D590" s="3"/>
    </row>
    <row r="591" spans="1:4" ht="16.5" customHeight="1">
      <c r="A591" s="3"/>
      <c r="B591" s="3"/>
      <c r="C591" s="3"/>
      <c r="D591" s="3"/>
    </row>
    <row r="592" spans="1:4" ht="16.5" customHeight="1">
      <c r="A592" s="3"/>
      <c r="B592" s="3"/>
      <c r="C592" s="3"/>
      <c r="D592" s="3"/>
    </row>
    <row r="593" spans="1:4" ht="16.5" customHeight="1">
      <c r="A593" s="3"/>
      <c r="B593" s="3"/>
      <c r="C593" s="3"/>
      <c r="D593" s="3"/>
    </row>
    <row r="594" spans="1:4" ht="16.5" customHeight="1">
      <c r="A594" s="3"/>
      <c r="B594" s="3"/>
      <c r="C594" s="3"/>
      <c r="D594" s="3"/>
    </row>
    <row r="595" spans="1:4" ht="16.5" customHeight="1">
      <c r="A595" s="3"/>
      <c r="B595" s="3"/>
      <c r="C595" s="3"/>
      <c r="D595" s="3"/>
    </row>
    <row r="596" spans="1:4" ht="16.5" customHeight="1">
      <c r="A596" s="3"/>
      <c r="B596" s="3"/>
      <c r="C596" s="3"/>
      <c r="D596" s="3"/>
    </row>
    <row r="597" spans="1:4" ht="16.5" customHeight="1">
      <c r="A597" s="3"/>
      <c r="B597" s="3"/>
      <c r="C597" s="3"/>
      <c r="D597" s="3"/>
    </row>
    <row r="598" spans="1:4" ht="16.5" customHeight="1">
      <c r="A598" s="3"/>
      <c r="B598" s="3"/>
      <c r="C598" s="3"/>
      <c r="D598" s="3"/>
    </row>
    <row r="599" spans="1:4" ht="16.5" customHeight="1">
      <c r="A599" s="3"/>
      <c r="B599" s="3"/>
      <c r="C599" s="3"/>
      <c r="D599" s="3"/>
    </row>
    <row r="600" spans="1:4" ht="16.5" customHeight="1">
      <c r="A600" s="3"/>
      <c r="B600" s="3"/>
      <c r="C600" s="3"/>
      <c r="D600" s="3"/>
    </row>
    <row r="601" spans="1:4" ht="16.5" customHeight="1">
      <c r="A601" s="3"/>
      <c r="B601" s="3"/>
      <c r="C601" s="3"/>
      <c r="D601" s="3"/>
    </row>
    <row r="602" spans="1:4" ht="16.5" customHeight="1">
      <c r="A602" s="3"/>
      <c r="B602" s="3"/>
      <c r="C602" s="3"/>
      <c r="D602" s="3"/>
    </row>
    <row r="603" spans="1:4" ht="16.5" customHeight="1">
      <c r="A603" s="3"/>
      <c r="B603" s="3"/>
      <c r="C603" s="3"/>
      <c r="D603" s="3"/>
    </row>
    <row r="604" spans="1:4" ht="16.5" customHeight="1">
      <c r="A604" s="3"/>
      <c r="B604" s="3"/>
      <c r="C604" s="3"/>
      <c r="D604" s="3"/>
    </row>
    <row r="605" spans="1:4" ht="16.5" customHeight="1">
      <c r="A605" s="3"/>
      <c r="B605" s="3"/>
      <c r="C605" s="3"/>
      <c r="D605" s="3"/>
    </row>
    <row r="606" spans="1:4" ht="16.5" customHeight="1">
      <c r="A606" s="3"/>
      <c r="B606" s="3"/>
      <c r="C606" s="3"/>
      <c r="D606" s="3"/>
    </row>
    <row r="607" spans="1:4" ht="16.5" customHeight="1">
      <c r="A607" s="3"/>
      <c r="B607" s="3"/>
      <c r="C607" s="3"/>
      <c r="D607" s="3"/>
    </row>
    <row r="608" spans="1:4" ht="16.5" customHeight="1">
      <c r="A608" s="3"/>
      <c r="B608" s="3"/>
      <c r="C608" s="3"/>
      <c r="D608" s="3"/>
    </row>
    <row r="609" spans="1:4" ht="16.5" customHeight="1">
      <c r="A609" s="3"/>
      <c r="B609" s="3"/>
      <c r="C609" s="3"/>
      <c r="D609" s="3"/>
    </row>
    <row r="610" spans="1:4" ht="16.5" customHeight="1">
      <c r="A610" s="3"/>
      <c r="B610" s="3"/>
      <c r="C610" s="3"/>
      <c r="D610" s="3"/>
    </row>
    <row r="611" spans="1:4" ht="16.5" customHeight="1">
      <c r="A611" s="3"/>
      <c r="B611" s="3"/>
      <c r="C611" s="3"/>
      <c r="D611" s="3"/>
    </row>
    <row r="612" spans="1:4" ht="16.5" customHeight="1">
      <c r="A612" s="3"/>
      <c r="B612" s="3"/>
      <c r="C612" s="3"/>
      <c r="D612" s="3"/>
    </row>
    <row r="613" spans="1:4" ht="16.5" customHeight="1">
      <c r="A613" s="3"/>
      <c r="B613" s="3"/>
      <c r="C613" s="3"/>
      <c r="D613" s="3"/>
    </row>
    <row r="614" spans="1:4" ht="16.5" customHeight="1">
      <c r="A614" s="3"/>
      <c r="B614" s="3"/>
      <c r="C614" s="3"/>
      <c r="D614" s="3"/>
    </row>
    <row r="615" spans="1:4" ht="16.5" customHeight="1">
      <c r="A615" s="3"/>
      <c r="B615" s="3"/>
      <c r="C615" s="3"/>
      <c r="D615" s="3"/>
    </row>
    <row r="616" spans="1:4" ht="16.5" customHeight="1">
      <c r="A616" s="3"/>
      <c r="B616" s="3"/>
      <c r="C616" s="3"/>
      <c r="D616" s="3"/>
    </row>
    <row r="617" spans="1:4" ht="16.5" customHeight="1">
      <c r="A617" s="3"/>
      <c r="B617" s="3"/>
      <c r="C617" s="3"/>
      <c r="D617" s="3"/>
    </row>
    <row r="618" spans="1:4" ht="16.5" customHeight="1">
      <c r="A618" s="3"/>
      <c r="B618" s="3"/>
      <c r="C618" s="3"/>
      <c r="D618" s="3"/>
    </row>
    <row r="619" spans="1:4" ht="16.5" customHeight="1">
      <c r="A619" s="3"/>
      <c r="B619" s="3"/>
      <c r="C619" s="3"/>
      <c r="D619" s="3"/>
    </row>
    <row r="620" spans="1:4" ht="16.5" customHeight="1">
      <c r="A620" s="3"/>
      <c r="B620" s="3"/>
      <c r="C620" s="3"/>
      <c r="D620" s="3"/>
    </row>
    <row r="621" spans="1:4" ht="16.5" customHeight="1">
      <c r="A621" s="3"/>
      <c r="B621" s="3"/>
      <c r="C621" s="3"/>
      <c r="D621" s="3"/>
    </row>
    <row r="622" spans="1:4" ht="16.5" customHeight="1">
      <c r="A622" s="3"/>
      <c r="B622" s="3"/>
      <c r="C622" s="3"/>
      <c r="D622" s="3"/>
    </row>
    <row r="623" spans="1:4" ht="16.5" customHeight="1">
      <c r="A623" s="3"/>
      <c r="B623" s="3"/>
      <c r="C623" s="3"/>
      <c r="D623" s="3"/>
    </row>
    <row r="624" spans="1:4" ht="16.5" customHeight="1">
      <c r="A624" s="3"/>
      <c r="B624" s="3"/>
      <c r="C624" s="3"/>
      <c r="D624" s="3"/>
    </row>
    <row r="625" spans="1:4" ht="16.5" customHeight="1">
      <c r="A625" s="3"/>
      <c r="B625" s="3"/>
      <c r="C625" s="3"/>
      <c r="D625" s="3"/>
    </row>
    <row r="626" spans="1:4" ht="16.5" customHeight="1">
      <c r="A626" s="3"/>
      <c r="B626" s="3"/>
      <c r="C626" s="3"/>
      <c r="D626" s="3"/>
    </row>
    <row r="627" spans="1:4" ht="16.5" customHeight="1">
      <c r="A627" s="3"/>
      <c r="B627" s="3"/>
      <c r="C627" s="3"/>
      <c r="D627" s="3"/>
    </row>
    <row r="628" spans="1:4" ht="16.5" customHeight="1">
      <c r="A628" s="3"/>
      <c r="B628" s="3"/>
      <c r="C628" s="3"/>
      <c r="D628" s="3"/>
    </row>
    <row r="629" spans="1:4" ht="16.5" customHeight="1">
      <c r="A629" s="3"/>
      <c r="B629" s="3"/>
      <c r="C629" s="3"/>
      <c r="D629" s="3"/>
    </row>
    <row r="630" spans="1:4" ht="16.5" customHeight="1">
      <c r="A630" s="3"/>
      <c r="B630" s="3"/>
      <c r="C630" s="3"/>
      <c r="D630" s="3"/>
    </row>
    <row r="631" spans="1:4" ht="16.5" customHeight="1">
      <c r="A631" s="3"/>
      <c r="B631" s="3"/>
      <c r="C631" s="3"/>
      <c r="D631" s="3"/>
    </row>
    <row r="632" spans="1:4" ht="16.5" customHeight="1">
      <c r="A632" s="3"/>
      <c r="B632" s="3"/>
      <c r="C632" s="3"/>
      <c r="D632" s="3"/>
    </row>
    <row r="633" spans="1:4" ht="16.5" customHeight="1">
      <c r="A633" s="3"/>
      <c r="B633" s="3"/>
      <c r="C633" s="3"/>
      <c r="D633" s="3"/>
    </row>
    <row r="634" spans="1:4" ht="16.5" customHeight="1">
      <c r="A634" s="3"/>
      <c r="B634" s="3"/>
      <c r="C634" s="3"/>
      <c r="D634" s="3"/>
    </row>
    <row r="635" spans="1:4" ht="16.5" customHeight="1">
      <c r="A635" s="3"/>
      <c r="B635" s="3"/>
      <c r="C635" s="3"/>
      <c r="D635" s="3"/>
    </row>
    <row r="636" spans="1:4" ht="16.5" customHeight="1">
      <c r="A636" s="3"/>
      <c r="B636" s="3"/>
      <c r="C636" s="3"/>
      <c r="D636" s="3"/>
    </row>
    <row r="637" spans="1:4" ht="16.5" customHeight="1">
      <c r="A637" s="3"/>
      <c r="B637" s="3"/>
      <c r="C637" s="3"/>
      <c r="D637" s="3"/>
    </row>
    <row r="638" spans="1:4" ht="16.5" customHeight="1">
      <c r="A638" s="3"/>
      <c r="B638" s="3"/>
      <c r="C638" s="3"/>
      <c r="D638" s="3"/>
    </row>
    <row r="639" spans="1:4" ht="16.5" customHeight="1">
      <c r="A639" s="3"/>
      <c r="B639" s="3"/>
      <c r="C639" s="3"/>
      <c r="D639" s="3"/>
    </row>
    <row r="640" spans="1:4" ht="16.5" customHeight="1">
      <c r="A640" s="3"/>
      <c r="B640" s="3"/>
      <c r="C640" s="3"/>
      <c r="D640" s="3"/>
    </row>
    <row r="641" spans="1:4" ht="16.5" customHeight="1">
      <c r="A641" s="3"/>
      <c r="B641" s="3"/>
      <c r="C641" s="3"/>
      <c r="D641" s="3"/>
    </row>
    <row r="642" spans="1:4" ht="16.5" customHeight="1">
      <c r="A642" s="3"/>
      <c r="B642" s="3"/>
      <c r="C642" s="3"/>
      <c r="D642" s="3"/>
    </row>
    <row r="643" spans="1:4" ht="16.5" customHeight="1">
      <c r="A643" s="3"/>
      <c r="B643" s="3"/>
      <c r="C643" s="3"/>
      <c r="D643" s="3"/>
    </row>
    <row r="644" spans="1:4" ht="16.5" customHeight="1">
      <c r="A644" s="3"/>
      <c r="B644" s="3"/>
      <c r="C644" s="3"/>
      <c r="D644" s="3"/>
    </row>
    <row r="645" spans="1:4" ht="16.5" customHeight="1">
      <c r="A645" s="3"/>
      <c r="B645" s="3"/>
      <c r="C645" s="3"/>
      <c r="D645" s="3"/>
    </row>
    <row r="646" spans="1:4" ht="16.5" customHeight="1">
      <c r="A646" s="3"/>
      <c r="B646" s="3"/>
      <c r="C646" s="3"/>
      <c r="D646" s="3"/>
    </row>
    <row r="647" spans="1:4" ht="16.5" customHeight="1">
      <c r="A647" s="3"/>
      <c r="B647" s="3"/>
      <c r="C647" s="3"/>
      <c r="D647" s="3"/>
    </row>
    <row r="648" spans="1:4" ht="16.5" customHeight="1">
      <c r="A648" s="3"/>
      <c r="B648" s="3"/>
      <c r="C648" s="3"/>
      <c r="D648" s="3"/>
    </row>
    <row r="649" spans="1:4" ht="16.5" customHeight="1">
      <c r="A649" s="3"/>
      <c r="B649" s="3"/>
      <c r="C649" s="3"/>
      <c r="D649" s="3"/>
    </row>
    <row r="650" spans="1:4" ht="16.5" customHeight="1">
      <c r="A650" s="3"/>
      <c r="B650" s="3"/>
      <c r="C650" s="3"/>
      <c r="D650" s="3"/>
    </row>
    <row r="651" spans="1:4" ht="16.5" customHeight="1">
      <c r="A651" s="3"/>
      <c r="B651" s="3"/>
      <c r="C651" s="3"/>
      <c r="D651" s="3"/>
    </row>
    <row r="652" spans="1:4" ht="16.5" customHeight="1">
      <c r="A652" s="3"/>
      <c r="B652" s="3"/>
      <c r="C652" s="3"/>
      <c r="D652" s="3"/>
    </row>
    <row r="653" spans="1:4" ht="16.5" customHeight="1">
      <c r="A653" s="3"/>
      <c r="B653" s="3"/>
      <c r="C653" s="3"/>
      <c r="D653" s="3"/>
    </row>
    <row r="654" spans="1:4" ht="16.5" customHeight="1">
      <c r="A654" s="3"/>
      <c r="B654" s="3"/>
      <c r="C654" s="3"/>
      <c r="D654" s="3"/>
    </row>
    <row r="655" spans="1:4" ht="16.5" customHeight="1">
      <c r="A655" s="3"/>
      <c r="B655" s="3"/>
      <c r="C655" s="3"/>
      <c r="D655" s="3"/>
    </row>
    <row r="656" spans="1:4" ht="16.5" customHeight="1">
      <c r="A656" s="3"/>
      <c r="B656" s="3"/>
      <c r="C656" s="3"/>
      <c r="D656" s="3"/>
    </row>
    <row r="657" spans="1:4" ht="16.5" customHeight="1">
      <c r="A657" s="3"/>
      <c r="B657" s="3"/>
      <c r="C657" s="3"/>
      <c r="D657" s="3"/>
    </row>
    <row r="658" spans="1:4" ht="16.5" customHeight="1">
      <c r="A658" s="3"/>
      <c r="B658" s="3"/>
      <c r="C658" s="3"/>
      <c r="D658" s="3"/>
    </row>
    <row r="659" spans="1:4" ht="16.5" customHeight="1">
      <c r="A659" s="3"/>
      <c r="B659" s="3"/>
      <c r="C659" s="3"/>
      <c r="D659" s="3"/>
    </row>
    <row r="660" spans="1:4" ht="16.5" customHeight="1">
      <c r="A660" s="3"/>
      <c r="B660" s="3"/>
      <c r="C660" s="3"/>
      <c r="D660" s="3"/>
    </row>
    <row r="661" spans="1:4" ht="16.5" customHeight="1">
      <c r="A661" s="3"/>
      <c r="B661" s="3"/>
      <c r="C661" s="3"/>
      <c r="D661" s="3"/>
    </row>
    <row r="662" spans="1:4" ht="16.5" customHeight="1">
      <c r="A662" s="3"/>
      <c r="B662" s="3"/>
      <c r="C662" s="3"/>
      <c r="D662" s="3"/>
    </row>
    <row r="663" spans="1:4" ht="16.5" customHeight="1">
      <c r="A663" s="3"/>
      <c r="B663" s="3"/>
      <c r="C663" s="3"/>
      <c r="D663" s="3"/>
    </row>
    <row r="664" spans="1:4" ht="16.5" customHeight="1">
      <c r="A664" s="3"/>
      <c r="B664" s="3"/>
      <c r="C664" s="3"/>
      <c r="D664" s="3"/>
    </row>
    <row r="665" spans="1:4" ht="16.5" customHeight="1">
      <c r="A665" s="3"/>
      <c r="B665" s="3"/>
      <c r="C665" s="3"/>
      <c r="D665" s="3"/>
    </row>
    <row r="666" spans="1:4" ht="16.5" customHeight="1">
      <c r="A666" s="3"/>
      <c r="B666" s="3"/>
      <c r="C666" s="3"/>
      <c r="D666" s="3"/>
    </row>
    <row r="667" spans="1:4" ht="16.5" customHeight="1">
      <c r="A667" s="3"/>
      <c r="B667" s="3"/>
      <c r="C667" s="3"/>
      <c r="D667" s="3"/>
    </row>
    <row r="668" spans="1:4" ht="16.5" customHeight="1">
      <c r="A668" s="3"/>
      <c r="B668" s="3"/>
      <c r="C668" s="3"/>
      <c r="D668" s="3"/>
    </row>
    <row r="669" spans="1:4" ht="16.5" customHeight="1">
      <c r="A669" s="3"/>
      <c r="B669" s="3"/>
      <c r="C669" s="3"/>
      <c r="D669" s="3"/>
    </row>
    <row r="670" spans="1:4" ht="16.5" customHeight="1">
      <c r="A670" s="3"/>
      <c r="B670" s="3"/>
      <c r="C670" s="3"/>
      <c r="D670" s="3"/>
    </row>
    <row r="671" spans="1:4" ht="16.5" customHeight="1">
      <c r="A671" s="3"/>
      <c r="B671" s="3"/>
      <c r="C671" s="3"/>
      <c r="D671" s="3"/>
    </row>
    <row r="672" spans="1:4" ht="16.5" customHeight="1">
      <c r="A672" s="3"/>
      <c r="B672" s="3"/>
      <c r="C672" s="3"/>
      <c r="D672" s="3"/>
    </row>
    <row r="673" spans="1:4" ht="16.5" customHeight="1">
      <c r="A673" s="3"/>
      <c r="B673" s="3"/>
      <c r="C673" s="3"/>
      <c r="D673" s="3"/>
    </row>
    <row r="674" spans="1:4" ht="16.5" customHeight="1">
      <c r="A674" s="3"/>
      <c r="B674" s="3"/>
      <c r="C674" s="3"/>
      <c r="D674" s="3"/>
    </row>
    <row r="675" spans="1:4" ht="16.5" customHeight="1">
      <c r="A675" s="3"/>
      <c r="B675" s="3"/>
      <c r="C675" s="3"/>
      <c r="D675" s="3"/>
    </row>
    <row r="676" spans="1:4" ht="16.5" customHeight="1">
      <c r="A676" s="3"/>
      <c r="B676" s="3"/>
      <c r="C676" s="3"/>
      <c r="D676" s="3"/>
    </row>
    <row r="677" spans="1:4" ht="16.5" customHeight="1">
      <c r="A677" s="3"/>
      <c r="B677" s="3"/>
      <c r="C677" s="3"/>
      <c r="D677" s="3"/>
    </row>
    <row r="678" spans="1:4" ht="16.5" customHeight="1">
      <c r="A678" s="3"/>
      <c r="B678" s="3"/>
      <c r="C678" s="3"/>
      <c r="D678" s="3"/>
    </row>
    <row r="679" spans="1:4" ht="16.5" customHeight="1">
      <c r="A679" s="3"/>
      <c r="B679" s="3"/>
      <c r="C679" s="3"/>
      <c r="D679" s="3"/>
    </row>
    <row r="680" spans="1:4" ht="16.5" customHeight="1">
      <c r="A680" s="3"/>
      <c r="B680" s="3"/>
      <c r="C680" s="3"/>
      <c r="D680" s="3"/>
    </row>
    <row r="681" spans="1:4" ht="16.5" customHeight="1">
      <c r="A681" s="3"/>
      <c r="B681" s="3"/>
      <c r="C681" s="3"/>
      <c r="D681" s="3"/>
    </row>
    <row r="682" spans="1:4" ht="16.5" customHeight="1">
      <c r="A682" s="3"/>
      <c r="B682" s="3"/>
      <c r="C682" s="3"/>
      <c r="D682" s="3"/>
    </row>
    <row r="683" spans="1:4" ht="16.5" customHeight="1">
      <c r="A683" s="3"/>
      <c r="B683" s="3"/>
      <c r="C683" s="3"/>
      <c r="D683" s="3"/>
    </row>
    <row r="684" spans="1:4" ht="16.5" customHeight="1">
      <c r="A684" s="3"/>
      <c r="B684" s="3"/>
      <c r="C684" s="3"/>
      <c r="D684" s="3"/>
    </row>
    <row r="685" spans="1:4" ht="16.5" customHeight="1">
      <c r="A685" s="3"/>
      <c r="B685" s="3"/>
      <c r="C685" s="3"/>
      <c r="D685" s="3"/>
    </row>
    <row r="686" spans="1:4" ht="16.5" customHeight="1">
      <c r="A686" s="3"/>
      <c r="B686" s="3"/>
      <c r="C686" s="3"/>
      <c r="D686" s="3"/>
    </row>
    <row r="687" spans="1:4" ht="16.5" customHeight="1">
      <c r="A687" s="3"/>
      <c r="B687" s="3"/>
      <c r="C687" s="3"/>
      <c r="D687" s="3"/>
    </row>
    <row r="688" spans="1:4" ht="16.5" customHeight="1">
      <c r="A688" s="3"/>
      <c r="B688" s="3"/>
      <c r="C688" s="3"/>
      <c r="D688" s="3"/>
    </row>
    <row r="689" spans="1:4" ht="16.5" customHeight="1">
      <c r="A689" s="3"/>
      <c r="B689" s="3"/>
      <c r="C689" s="3"/>
      <c r="D689" s="3"/>
    </row>
    <row r="690" spans="1:4" ht="16.5" customHeight="1">
      <c r="A690" s="3"/>
      <c r="B690" s="3"/>
      <c r="C690" s="3"/>
      <c r="D690" s="3"/>
    </row>
    <row r="691" spans="1:4" ht="16.5" customHeight="1">
      <c r="A691" s="3"/>
      <c r="B691" s="3"/>
      <c r="C691" s="3"/>
      <c r="D691" s="3"/>
    </row>
    <row r="692" spans="1:4" ht="16.5" customHeight="1">
      <c r="A692" s="3"/>
      <c r="B692" s="3"/>
      <c r="C692" s="3"/>
      <c r="D692" s="3"/>
    </row>
    <row r="693" spans="1:4" ht="16.5" customHeight="1">
      <c r="A693" s="3"/>
      <c r="B693" s="3"/>
      <c r="C693" s="3"/>
      <c r="D693" s="3"/>
    </row>
    <row r="694" spans="1:4" ht="16.5" customHeight="1">
      <c r="A694" s="3"/>
      <c r="B694" s="3"/>
      <c r="C694" s="3"/>
      <c r="D694" s="3"/>
    </row>
    <row r="695" spans="1:4" ht="16.5" customHeight="1">
      <c r="A695" s="3"/>
      <c r="B695" s="3"/>
      <c r="C695" s="3"/>
      <c r="D695" s="3"/>
    </row>
    <row r="696" spans="1:4" ht="16.5" customHeight="1">
      <c r="A696" s="3"/>
      <c r="B696" s="3"/>
      <c r="C696" s="3"/>
      <c r="D696" s="3"/>
    </row>
    <row r="697" spans="1:4" ht="16.5" customHeight="1">
      <c r="A697" s="3"/>
      <c r="B697" s="3"/>
      <c r="C697" s="3"/>
      <c r="D697" s="3"/>
    </row>
    <row r="698" spans="1:4" ht="16.5" customHeight="1">
      <c r="A698" s="3"/>
      <c r="B698" s="3"/>
      <c r="C698" s="3"/>
      <c r="D698" s="3"/>
    </row>
    <row r="699" spans="1:4" ht="16.5" customHeight="1">
      <c r="A699" s="3"/>
      <c r="B699" s="3"/>
      <c r="C699" s="3"/>
      <c r="D699" s="3"/>
    </row>
    <row r="700" spans="1:4" ht="16.5" customHeight="1">
      <c r="A700" s="3"/>
      <c r="B700" s="3"/>
      <c r="C700" s="3"/>
      <c r="D700" s="3"/>
    </row>
    <row r="701" spans="1:4" ht="16.5" customHeight="1">
      <c r="A701" s="3"/>
      <c r="B701" s="3"/>
      <c r="C701" s="3"/>
      <c r="D701" s="3"/>
    </row>
    <row r="702" spans="1:4" ht="16.5" customHeight="1">
      <c r="A702" s="3"/>
      <c r="B702" s="3"/>
      <c r="C702" s="3"/>
      <c r="D702" s="3"/>
    </row>
    <row r="703" spans="1:4" ht="16.5" customHeight="1">
      <c r="A703" s="3"/>
      <c r="B703" s="3"/>
      <c r="C703" s="3"/>
      <c r="D703" s="3"/>
    </row>
    <row r="704" spans="1:4" ht="16.5" customHeight="1">
      <c r="A704" s="3"/>
      <c r="B704" s="3"/>
      <c r="C704" s="3"/>
      <c r="D704" s="3"/>
    </row>
    <row r="705" spans="1:4" ht="16.5" customHeight="1">
      <c r="A705" s="3"/>
      <c r="B705" s="3"/>
      <c r="C705" s="3"/>
      <c r="D705" s="3"/>
    </row>
    <row r="706" spans="1:4" ht="16.5" customHeight="1">
      <c r="A706" s="3"/>
      <c r="B706" s="3"/>
      <c r="C706" s="3"/>
      <c r="D706" s="3"/>
    </row>
    <row r="707" spans="1:4" ht="16.5" customHeight="1">
      <c r="A707" s="3"/>
      <c r="B707" s="3"/>
      <c r="C707" s="3"/>
      <c r="D707" s="3"/>
    </row>
    <row r="708" spans="1:4" ht="16.5" customHeight="1">
      <c r="A708" s="3"/>
      <c r="B708" s="3"/>
      <c r="C708" s="3"/>
      <c r="D708" s="3"/>
    </row>
    <row r="709" spans="1:4" ht="16.5" customHeight="1">
      <c r="A709" s="3"/>
      <c r="B709" s="3"/>
      <c r="C709" s="3"/>
      <c r="D709" s="3"/>
    </row>
    <row r="710" spans="1:4" ht="16.5" customHeight="1">
      <c r="A710" s="3"/>
      <c r="B710" s="3"/>
      <c r="C710" s="3"/>
      <c r="D710" s="3"/>
    </row>
    <row r="711" spans="1:4" ht="16.5" customHeight="1">
      <c r="A711" s="3"/>
      <c r="B711" s="3"/>
      <c r="C711" s="3"/>
      <c r="D711" s="3"/>
    </row>
    <row r="712" spans="1:4" ht="16.5" customHeight="1">
      <c r="A712" s="3"/>
      <c r="B712" s="3"/>
      <c r="C712" s="3"/>
      <c r="D712" s="3"/>
    </row>
    <row r="713" spans="1:4" ht="16.5" customHeight="1">
      <c r="A713" s="3"/>
      <c r="B713" s="3"/>
      <c r="C713" s="3"/>
      <c r="D713" s="3"/>
    </row>
    <row r="714" spans="1:4" ht="16.5" customHeight="1">
      <c r="A714" s="3"/>
      <c r="B714" s="3"/>
      <c r="C714" s="3"/>
      <c r="D714" s="3"/>
    </row>
    <row r="715" spans="1:4" ht="16.5" customHeight="1">
      <c r="A715" s="3"/>
      <c r="B715" s="3"/>
      <c r="C715" s="3"/>
      <c r="D715" s="3"/>
    </row>
    <row r="716" spans="1:4" ht="16.5" customHeight="1">
      <c r="A716" s="3"/>
      <c r="B716" s="3"/>
      <c r="C716" s="3"/>
      <c r="D716" s="3"/>
    </row>
    <row r="717" spans="1:4" ht="16.5" customHeight="1">
      <c r="A717" s="3"/>
      <c r="B717" s="3"/>
      <c r="C717" s="3"/>
      <c r="D717" s="3"/>
    </row>
    <row r="718" spans="1:4" ht="16.5" customHeight="1">
      <c r="A718" s="3"/>
      <c r="B718" s="3"/>
      <c r="C718" s="3"/>
      <c r="D718" s="3"/>
    </row>
    <row r="719" spans="1:4" ht="16.5" customHeight="1">
      <c r="A719" s="3"/>
      <c r="B719" s="3"/>
      <c r="C719" s="3"/>
      <c r="D719" s="3"/>
    </row>
    <row r="720" spans="1:4" ht="16.5" customHeight="1">
      <c r="A720" s="3"/>
      <c r="B720" s="3"/>
      <c r="C720" s="3"/>
      <c r="D720" s="3"/>
    </row>
    <row r="721" spans="1:4" ht="16.5" customHeight="1">
      <c r="A721" s="3"/>
      <c r="B721" s="3"/>
      <c r="C721" s="3"/>
      <c r="D721" s="3"/>
    </row>
    <row r="722" spans="1:4" ht="16.5" customHeight="1">
      <c r="A722" s="3"/>
      <c r="B722" s="3"/>
      <c r="C722" s="3"/>
      <c r="D722" s="3"/>
    </row>
    <row r="723" spans="1:4" ht="16.5" customHeight="1">
      <c r="A723" s="3"/>
      <c r="B723" s="3"/>
      <c r="C723" s="3"/>
      <c r="D723" s="3"/>
    </row>
    <row r="724" spans="1:4" ht="16.5" customHeight="1">
      <c r="A724" s="3"/>
      <c r="B724" s="3"/>
      <c r="C724" s="3"/>
      <c r="D724" s="3"/>
    </row>
    <row r="725" spans="1:4" ht="16.5" customHeight="1">
      <c r="A725" s="3"/>
      <c r="B725" s="3"/>
      <c r="C725" s="3"/>
      <c r="D725" s="3"/>
    </row>
    <row r="726" spans="1:4" ht="16.5" customHeight="1">
      <c r="A726" s="3"/>
      <c r="B726" s="3"/>
      <c r="C726" s="3"/>
      <c r="D726" s="3"/>
    </row>
    <row r="727" spans="1:4" ht="16.5" customHeight="1">
      <c r="A727" s="3"/>
      <c r="B727" s="3"/>
      <c r="C727" s="3"/>
      <c r="D727" s="3"/>
    </row>
    <row r="728" spans="1:4" ht="16.5" customHeight="1">
      <c r="A728" s="3"/>
      <c r="B728" s="3"/>
      <c r="C728" s="3"/>
      <c r="D728" s="3"/>
    </row>
    <row r="729" spans="1:4" ht="16.5" customHeight="1">
      <c r="A729" s="3"/>
      <c r="B729" s="3"/>
      <c r="C729" s="3"/>
      <c r="D729" s="3"/>
    </row>
    <row r="730" spans="1:4" ht="16.5" customHeight="1">
      <c r="A730" s="3"/>
      <c r="B730" s="3"/>
      <c r="C730" s="3"/>
      <c r="D730" s="3"/>
    </row>
    <row r="731" spans="1:4" ht="16.5" customHeight="1">
      <c r="A731" s="3"/>
      <c r="B731" s="3"/>
      <c r="C731" s="3"/>
      <c r="D731" s="3"/>
    </row>
    <row r="732" spans="1:4" ht="16.5" customHeight="1">
      <c r="A732" s="3"/>
      <c r="B732" s="3"/>
      <c r="C732" s="3"/>
      <c r="D732" s="3"/>
    </row>
    <row r="733" spans="1:4" ht="16.5" customHeight="1">
      <c r="A733" s="3"/>
      <c r="B733" s="3"/>
      <c r="C733" s="3"/>
      <c r="D733" s="3"/>
    </row>
    <row r="734" spans="1:4" ht="16.5" customHeight="1">
      <c r="A734" s="3"/>
      <c r="B734" s="3"/>
      <c r="C734" s="3"/>
      <c r="D734" s="3"/>
    </row>
    <row r="735" spans="1:4" ht="16.5" customHeight="1">
      <c r="A735" s="3"/>
      <c r="B735" s="3"/>
      <c r="C735" s="3"/>
      <c r="D735" s="3"/>
    </row>
    <row r="736" spans="1:4" ht="16.5" customHeight="1">
      <c r="A736" s="3"/>
      <c r="B736" s="3"/>
      <c r="C736" s="3"/>
      <c r="D736" s="3"/>
    </row>
    <row r="737" spans="1:4" ht="16.5" customHeight="1">
      <c r="A737" s="3"/>
      <c r="B737" s="3"/>
      <c r="C737" s="3"/>
      <c r="D737" s="3"/>
    </row>
    <row r="738" spans="1:4" ht="16.5" customHeight="1">
      <c r="A738" s="3"/>
      <c r="B738" s="3"/>
      <c r="C738" s="3"/>
      <c r="D738" s="3"/>
    </row>
    <row r="739" spans="1:4" ht="16.5" customHeight="1">
      <c r="A739" s="3"/>
      <c r="B739" s="3"/>
      <c r="C739" s="3"/>
      <c r="D739" s="3"/>
    </row>
    <row r="740" spans="1:4" ht="16.5" customHeight="1">
      <c r="A740" s="3"/>
      <c r="B740" s="3"/>
      <c r="C740" s="3"/>
      <c r="D740" s="3"/>
    </row>
    <row r="741" spans="1:4" ht="16.5" customHeight="1">
      <c r="A741" s="3"/>
      <c r="B741" s="3"/>
      <c r="C741" s="3"/>
      <c r="D741" s="3"/>
    </row>
    <row r="742" spans="1:4" ht="16.5" customHeight="1">
      <c r="A742" s="3"/>
      <c r="B742" s="3"/>
      <c r="C742" s="3"/>
      <c r="D742" s="3"/>
    </row>
    <row r="743" spans="1:4" ht="16.5" customHeight="1">
      <c r="A743" s="3"/>
      <c r="B743" s="3"/>
      <c r="C743" s="3"/>
      <c r="D743" s="3"/>
    </row>
    <row r="744" spans="1:4" ht="16.5" customHeight="1">
      <c r="A744" s="3"/>
      <c r="B744" s="3"/>
      <c r="C744" s="3"/>
      <c r="D744" s="3"/>
    </row>
    <row r="745" spans="1:4" ht="16.5" customHeight="1">
      <c r="A745" s="3"/>
      <c r="B745" s="3"/>
      <c r="C745" s="3"/>
      <c r="D745" s="3"/>
    </row>
    <row r="746" spans="1:4" ht="16.5" customHeight="1">
      <c r="A746" s="3"/>
      <c r="B746" s="3"/>
      <c r="C746" s="3"/>
      <c r="D746" s="3"/>
    </row>
    <row r="747" spans="1:4" ht="16.5" customHeight="1">
      <c r="A747" s="3"/>
      <c r="B747" s="3"/>
      <c r="C747" s="3"/>
      <c r="D747" s="3"/>
    </row>
    <row r="748" spans="1:4" ht="16.5" customHeight="1">
      <c r="A748" s="3"/>
      <c r="B748" s="3"/>
      <c r="C748" s="3"/>
      <c r="D748" s="3"/>
    </row>
    <row r="749" spans="1:4" ht="16.5" customHeight="1">
      <c r="A749" s="3"/>
      <c r="B749" s="3"/>
      <c r="C749" s="3"/>
      <c r="D749" s="3"/>
    </row>
    <row r="750" spans="1:4" ht="16.5" customHeight="1">
      <c r="A750" s="3"/>
      <c r="B750" s="3"/>
      <c r="C750" s="3"/>
      <c r="D750" s="3"/>
    </row>
    <row r="751" spans="1:4" ht="16.5" customHeight="1">
      <c r="A751" s="3"/>
      <c r="B751" s="3"/>
      <c r="C751" s="3"/>
      <c r="D751" s="3"/>
    </row>
    <row r="752" spans="1:4" ht="16.5" customHeight="1">
      <c r="A752" s="3"/>
      <c r="B752" s="3"/>
      <c r="C752" s="3"/>
      <c r="D752" s="3"/>
    </row>
    <row r="753" spans="1:4" ht="16.5" customHeight="1">
      <c r="A753" s="3"/>
      <c r="B753" s="3"/>
      <c r="C753" s="3"/>
      <c r="D753" s="3"/>
    </row>
    <row r="754" spans="1:4" ht="16.5" customHeight="1">
      <c r="A754" s="3"/>
      <c r="B754" s="3"/>
      <c r="C754" s="3"/>
      <c r="D754" s="3"/>
    </row>
    <row r="755" spans="1:4" ht="16.5" customHeight="1">
      <c r="A755" s="3"/>
      <c r="B755" s="3"/>
      <c r="C755" s="3"/>
      <c r="D755" s="3"/>
    </row>
    <row r="756" spans="1:4" ht="16.5" customHeight="1">
      <c r="A756" s="3"/>
      <c r="B756" s="3"/>
      <c r="C756" s="3"/>
      <c r="D756" s="3"/>
    </row>
    <row r="757" spans="1:4" ht="16.5" customHeight="1">
      <c r="A757" s="3"/>
      <c r="B757" s="3"/>
      <c r="C757" s="3"/>
      <c r="D757" s="3"/>
    </row>
    <row r="758" spans="1:4" ht="16.5" customHeight="1">
      <c r="A758" s="3"/>
      <c r="B758" s="3"/>
      <c r="C758" s="3"/>
      <c r="D758" s="3"/>
    </row>
    <row r="759" spans="1:4" ht="16.5" customHeight="1">
      <c r="A759" s="3"/>
      <c r="B759" s="3"/>
      <c r="C759" s="3"/>
      <c r="D759" s="3"/>
    </row>
    <row r="760" spans="1:4" ht="16.5" customHeight="1">
      <c r="A760" s="3"/>
      <c r="B760" s="3"/>
      <c r="C760" s="3"/>
      <c r="D760" s="3"/>
    </row>
    <row r="761" spans="1:4" ht="16.5" customHeight="1">
      <c r="A761" s="3"/>
      <c r="B761" s="3"/>
      <c r="C761" s="3"/>
      <c r="D761" s="3"/>
    </row>
    <row r="762" spans="1:4" ht="16.5" customHeight="1">
      <c r="A762" s="3"/>
      <c r="B762" s="3"/>
      <c r="C762" s="3"/>
      <c r="D762" s="3"/>
    </row>
    <row r="763" spans="1:4" ht="16.5" customHeight="1">
      <c r="A763" s="3"/>
      <c r="B763" s="3"/>
      <c r="C763" s="3"/>
      <c r="D763" s="3"/>
    </row>
    <row r="764" spans="1:4" ht="16.5" customHeight="1">
      <c r="A764" s="3"/>
      <c r="B764" s="3"/>
      <c r="C764" s="3"/>
      <c r="D764" s="3"/>
    </row>
    <row r="765" spans="1:4" ht="16.5" customHeight="1">
      <c r="A765" s="3"/>
      <c r="B765" s="3"/>
      <c r="C765" s="3"/>
      <c r="D765" s="3"/>
    </row>
    <row r="766" spans="1:4" ht="16.5" customHeight="1">
      <c r="A766" s="3"/>
      <c r="B766" s="3"/>
      <c r="C766" s="3"/>
      <c r="D766" s="3"/>
    </row>
    <row r="767" spans="1:4" ht="16.5" customHeight="1">
      <c r="A767" s="3"/>
      <c r="B767" s="3"/>
      <c r="C767" s="3"/>
      <c r="D767" s="3"/>
    </row>
    <row r="768" spans="1:4" ht="16.5" customHeight="1">
      <c r="A768" s="3"/>
      <c r="B768" s="3"/>
      <c r="C768" s="3"/>
      <c r="D768" s="3"/>
    </row>
    <row r="769" spans="1:4" ht="16.5" customHeight="1">
      <c r="A769" s="3"/>
      <c r="B769" s="3"/>
      <c r="C769" s="3"/>
      <c r="D769" s="3"/>
    </row>
    <row r="770" spans="1:4" ht="16.5" customHeight="1">
      <c r="A770" s="3"/>
      <c r="B770" s="3"/>
      <c r="C770" s="3"/>
      <c r="D770" s="3"/>
    </row>
    <row r="771" spans="1:4" ht="16.5" customHeight="1">
      <c r="A771" s="3"/>
      <c r="B771" s="3"/>
      <c r="C771" s="3"/>
      <c r="D771" s="3"/>
    </row>
    <row r="772" spans="1:4" ht="16.5" customHeight="1">
      <c r="A772" s="3"/>
      <c r="B772" s="3"/>
      <c r="C772" s="3"/>
      <c r="D772" s="3"/>
    </row>
    <row r="773" spans="1:4" ht="16.5" customHeight="1">
      <c r="A773" s="3"/>
      <c r="B773" s="3"/>
      <c r="C773" s="3"/>
      <c r="D773" s="3"/>
    </row>
    <row r="774" spans="1:4" ht="16.5" customHeight="1">
      <c r="A774" s="3"/>
      <c r="B774" s="3"/>
      <c r="C774" s="3"/>
      <c r="D774" s="3"/>
    </row>
    <row r="775" spans="1:4" ht="16.5" customHeight="1">
      <c r="A775" s="3"/>
      <c r="B775" s="3"/>
      <c r="C775" s="3"/>
      <c r="D775" s="3"/>
    </row>
    <row r="776" spans="1:4" ht="16.5" customHeight="1">
      <c r="A776" s="3"/>
      <c r="B776" s="3"/>
      <c r="C776" s="3"/>
      <c r="D776" s="3"/>
    </row>
    <row r="777" spans="1:4" ht="16.5" customHeight="1">
      <c r="A777" s="3"/>
      <c r="B777" s="3"/>
      <c r="C777" s="3"/>
      <c r="D777" s="3"/>
    </row>
    <row r="778" spans="1:4" ht="16.5" customHeight="1">
      <c r="A778" s="3"/>
      <c r="B778" s="3"/>
      <c r="C778" s="3"/>
      <c r="D778" s="3"/>
    </row>
    <row r="779" spans="1:4" ht="16.5" customHeight="1">
      <c r="A779" s="3"/>
      <c r="B779" s="3"/>
      <c r="C779" s="3"/>
      <c r="D779" s="3"/>
    </row>
    <row r="780" spans="1:4" ht="16.5" customHeight="1">
      <c r="A780" s="3"/>
      <c r="B780" s="3"/>
      <c r="C780" s="3"/>
      <c r="D780" s="3"/>
    </row>
    <row r="781" spans="1:4" ht="16.5" customHeight="1">
      <c r="A781" s="3"/>
      <c r="B781" s="3"/>
      <c r="C781" s="3"/>
      <c r="D781" s="3"/>
    </row>
    <row r="782" spans="1:4" ht="16.5" customHeight="1">
      <c r="A782" s="3"/>
      <c r="B782" s="3"/>
      <c r="C782" s="3"/>
      <c r="D782" s="3"/>
    </row>
    <row r="783" spans="1:4" ht="16.5" customHeight="1">
      <c r="A783" s="3"/>
      <c r="B783" s="3"/>
      <c r="C783" s="3"/>
      <c r="D783" s="3"/>
    </row>
    <row r="784" spans="1:4" ht="16.5" customHeight="1">
      <c r="A784" s="3"/>
      <c r="B784" s="3"/>
      <c r="C784" s="3"/>
      <c r="D784" s="3"/>
    </row>
    <row r="785" spans="1:4" ht="16.5" customHeight="1">
      <c r="A785" s="3"/>
      <c r="B785" s="3"/>
      <c r="C785" s="3"/>
      <c r="D785" s="3"/>
    </row>
    <row r="786" spans="1:4" ht="16.5" customHeight="1">
      <c r="A786" s="3"/>
      <c r="B786" s="3"/>
      <c r="C786" s="3"/>
      <c r="D786" s="3"/>
    </row>
    <row r="787" spans="1:4" ht="16.5" customHeight="1">
      <c r="A787" s="3"/>
      <c r="B787" s="3"/>
      <c r="C787" s="3"/>
      <c r="D787" s="3"/>
    </row>
    <row r="788" spans="1:4" ht="16.5" customHeight="1">
      <c r="A788" s="3"/>
      <c r="B788" s="3"/>
      <c r="C788" s="3"/>
      <c r="D788" s="3"/>
    </row>
    <row r="789" spans="1:4" ht="16.5" customHeight="1">
      <c r="A789" s="3"/>
      <c r="B789" s="3"/>
      <c r="C789" s="3"/>
      <c r="D789" s="3"/>
    </row>
    <row r="790" spans="1:4" ht="16.5" customHeight="1">
      <c r="A790" s="3"/>
      <c r="B790" s="3"/>
      <c r="C790" s="3"/>
      <c r="D790" s="3"/>
    </row>
    <row r="791" spans="1:4" ht="16.5" customHeight="1">
      <c r="A791" s="3"/>
      <c r="B791" s="3"/>
      <c r="C791" s="3"/>
      <c r="D791" s="3"/>
    </row>
    <row r="792" spans="1:4" ht="16.5" customHeight="1">
      <c r="A792" s="3"/>
      <c r="B792" s="3"/>
      <c r="C792" s="3"/>
      <c r="D792" s="3"/>
    </row>
    <row r="793" spans="1:4" ht="16.5" customHeight="1">
      <c r="A793" s="3"/>
      <c r="B793" s="3"/>
      <c r="C793" s="3"/>
      <c r="D793" s="3"/>
    </row>
    <row r="794" spans="1:4" ht="16.5" customHeight="1">
      <c r="A794" s="3"/>
      <c r="B794" s="3"/>
      <c r="C794" s="3"/>
      <c r="D794" s="3"/>
    </row>
    <row r="795" spans="1:4" ht="16.5" customHeight="1">
      <c r="A795" s="3"/>
      <c r="B795" s="3"/>
      <c r="C795" s="3"/>
      <c r="D795" s="3"/>
    </row>
    <row r="796" spans="1:4" ht="16.5" customHeight="1">
      <c r="A796" s="3"/>
      <c r="B796" s="3"/>
      <c r="C796" s="3"/>
      <c r="D796" s="3"/>
    </row>
    <row r="797" spans="1:4" ht="16.5" customHeight="1">
      <c r="A797" s="3"/>
      <c r="B797" s="3"/>
      <c r="C797" s="3"/>
      <c r="D797" s="3"/>
    </row>
    <row r="798" spans="1:4" ht="16.5" customHeight="1">
      <c r="A798" s="3"/>
      <c r="B798" s="3"/>
      <c r="C798" s="3"/>
      <c r="D798" s="3"/>
    </row>
    <row r="799" spans="1:4" ht="16.5" customHeight="1">
      <c r="A799" s="3"/>
      <c r="B799" s="3"/>
      <c r="C799" s="3"/>
      <c r="D799" s="3"/>
    </row>
    <row r="800" spans="1:4" ht="16.5" customHeight="1">
      <c r="A800" s="3"/>
      <c r="B800" s="3"/>
      <c r="C800" s="3"/>
      <c r="D800" s="3"/>
    </row>
    <row r="801" spans="1:4" ht="16.5" customHeight="1">
      <c r="A801" s="3"/>
      <c r="B801" s="3"/>
      <c r="C801" s="3"/>
      <c r="D801" s="3"/>
    </row>
    <row r="802" spans="1:4" ht="16.5" customHeight="1">
      <c r="A802" s="3"/>
      <c r="B802" s="3"/>
      <c r="C802" s="3"/>
      <c r="D802" s="3"/>
    </row>
    <row r="803" spans="1:4" ht="16.5" customHeight="1">
      <c r="A803" s="3"/>
      <c r="B803" s="3"/>
      <c r="C803" s="3"/>
      <c r="D803" s="3"/>
    </row>
    <row r="804" spans="1:4" ht="16.5" customHeight="1">
      <c r="A804" s="3"/>
      <c r="B804" s="3"/>
      <c r="C804" s="3"/>
      <c r="D804" s="3"/>
    </row>
    <row r="805" spans="1:4" ht="16.5" customHeight="1">
      <c r="A805" s="3"/>
      <c r="B805" s="3"/>
      <c r="C805" s="3"/>
      <c r="D805" s="3"/>
    </row>
    <row r="806" spans="1:4" ht="16.5" customHeight="1">
      <c r="A806" s="3"/>
      <c r="B806" s="3"/>
      <c r="C806" s="3"/>
      <c r="D806" s="3"/>
    </row>
    <row r="807" spans="1:4" ht="16.5" customHeight="1">
      <c r="A807" s="3"/>
      <c r="B807" s="3"/>
      <c r="C807" s="3"/>
      <c r="D807" s="3"/>
    </row>
    <row r="808" spans="1:4" ht="16.5" customHeight="1">
      <c r="A808" s="3"/>
      <c r="B808" s="3"/>
      <c r="C808" s="3"/>
      <c r="D808" s="3"/>
    </row>
    <row r="809" spans="1:4" ht="16.5" customHeight="1">
      <c r="A809" s="3"/>
      <c r="B809" s="3"/>
      <c r="C809" s="3"/>
      <c r="D809" s="3"/>
    </row>
    <row r="810" spans="1:4" ht="16.5" customHeight="1">
      <c r="A810" s="3"/>
      <c r="B810" s="3"/>
      <c r="C810" s="3"/>
      <c r="D810" s="3"/>
    </row>
    <row r="811" spans="1:4" ht="16.5" customHeight="1">
      <c r="A811" s="3"/>
      <c r="B811" s="3"/>
      <c r="C811" s="3"/>
      <c r="D811" s="3"/>
    </row>
    <row r="812" spans="1:4" ht="16.5" customHeight="1">
      <c r="A812" s="3"/>
      <c r="B812" s="3"/>
      <c r="C812" s="3"/>
      <c r="D812" s="3"/>
    </row>
    <row r="813" spans="1:4" ht="16.5" customHeight="1">
      <c r="A813" s="3"/>
      <c r="B813" s="3"/>
      <c r="C813" s="3"/>
      <c r="D813" s="3"/>
    </row>
    <row r="814" spans="1:4" ht="16.5" customHeight="1">
      <c r="A814" s="3"/>
      <c r="B814" s="3"/>
      <c r="C814" s="3"/>
      <c r="D814" s="3"/>
    </row>
    <row r="815" spans="1:4" ht="16.5" customHeight="1">
      <c r="A815" s="3"/>
      <c r="B815" s="3"/>
      <c r="C815" s="3"/>
      <c r="D815" s="3"/>
    </row>
    <row r="816" spans="1:4" ht="16.5" customHeight="1">
      <c r="A816" s="3"/>
      <c r="B816" s="3"/>
      <c r="C816" s="3"/>
      <c r="D816" s="3"/>
    </row>
    <row r="817" spans="1:4" ht="16.5" customHeight="1">
      <c r="A817" s="3"/>
      <c r="B817" s="3"/>
      <c r="C817" s="3"/>
      <c r="D817" s="3"/>
    </row>
    <row r="818" spans="1:4" ht="16.5" customHeight="1">
      <c r="A818" s="3"/>
      <c r="B818" s="3"/>
      <c r="C818" s="3"/>
      <c r="D818" s="3"/>
    </row>
    <row r="819" spans="1:4" ht="16.5" customHeight="1">
      <c r="A819" s="3"/>
      <c r="B819" s="3"/>
      <c r="C819" s="3"/>
      <c r="D819" s="3"/>
    </row>
    <row r="820" spans="1:4" ht="16.5" customHeight="1">
      <c r="A820" s="3"/>
      <c r="B820" s="3"/>
      <c r="C820" s="3"/>
      <c r="D820" s="3"/>
    </row>
    <row r="821" spans="1:4" ht="16.5" customHeight="1">
      <c r="A821" s="3"/>
      <c r="B821" s="3"/>
      <c r="C821" s="3"/>
      <c r="D821" s="3"/>
    </row>
    <row r="822" spans="1:4" ht="16.5" customHeight="1">
      <c r="A822" s="3"/>
      <c r="B822" s="3"/>
      <c r="C822" s="3"/>
      <c r="D822" s="3"/>
    </row>
    <row r="823" spans="1:4" ht="16.5" customHeight="1">
      <c r="A823" s="3"/>
      <c r="B823" s="3"/>
      <c r="C823" s="3"/>
      <c r="D823" s="3"/>
    </row>
    <row r="824" spans="1:4" ht="16.5" customHeight="1">
      <c r="A824" s="3"/>
      <c r="B824" s="3"/>
      <c r="C824" s="3"/>
      <c r="D824" s="3"/>
    </row>
    <row r="825" spans="1:4" ht="16.5" customHeight="1">
      <c r="A825" s="3"/>
      <c r="B825" s="3"/>
      <c r="C825" s="3"/>
      <c r="D825" s="3"/>
    </row>
    <row r="826" spans="1:4" ht="16.5" customHeight="1">
      <c r="A826" s="3"/>
      <c r="B826" s="3"/>
      <c r="C826" s="3"/>
      <c r="D826" s="3"/>
    </row>
    <row r="827" spans="1:4" ht="16.5" customHeight="1">
      <c r="A827" s="3"/>
      <c r="B827" s="3"/>
      <c r="C827" s="3"/>
      <c r="D827" s="3"/>
    </row>
    <row r="828" spans="1:4" ht="16.5" customHeight="1">
      <c r="A828" s="3"/>
      <c r="B828" s="3"/>
      <c r="C828" s="3"/>
      <c r="D828" s="3"/>
    </row>
    <row r="829" spans="1:4" ht="16.5" customHeight="1">
      <c r="A829" s="3"/>
      <c r="B829" s="3"/>
      <c r="C829" s="3"/>
      <c r="D829" s="3"/>
    </row>
    <row r="830" spans="1:4" ht="16.5" customHeight="1">
      <c r="A830" s="3"/>
      <c r="B830" s="3"/>
      <c r="C830" s="3"/>
      <c r="D830" s="3"/>
    </row>
    <row r="831" spans="1:4" ht="16.5" customHeight="1">
      <c r="A831" s="3"/>
      <c r="B831" s="3"/>
      <c r="C831" s="3"/>
      <c r="D831" s="3"/>
    </row>
    <row r="832" spans="1:4" ht="16.5" customHeight="1">
      <c r="A832" s="3"/>
      <c r="B832" s="3"/>
      <c r="C832" s="3"/>
      <c r="D832" s="3"/>
    </row>
    <row r="833" spans="1:4" ht="16.5" customHeight="1">
      <c r="A833" s="3"/>
      <c r="B833" s="3"/>
      <c r="C833" s="3"/>
      <c r="D833" s="3"/>
    </row>
    <row r="834" spans="1:4" ht="16.5" customHeight="1">
      <c r="A834" s="3"/>
      <c r="B834" s="3"/>
      <c r="C834" s="3"/>
      <c r="D834" s="3"/>
    </row>
    <row r="835" spans="1:4" ht="16.5" customHeight="1">
      <c r="A835" s="3"/>
      <c r="B835" s="3"/>
      <c r="C835" s="3"/>
      <c r="D835" s="3"/>
    </row>
    <row r="836" spans="1:4" ht="16.5" customHeight="1">
      <c r="A836" s="3"/>
      <c r="B836" s="3"/>
      <c r="C836" s="3"/>
      <c r="D836" s="3"/>
    </row>
    <row r="837" spans="1:4" ht="16.5" customHeight="1">
      <c r="A837" s="3"/>
      <c r="B837" s="3"/>
      <c r="C837" s="3"/>
      <c r="D837" s="3"/>
    </row>
    <row r="838" spans="1:4" ht="16.5" customHeight="1">
      <c r="A838" s="3"/>
      <c r="B838" s="3"/>
      <c r="C838" s="3"/>
      <c r="D838" s="3"/>
    </row>
    <row r="839" spans="1:4" ht="16.5" customHeight="1">
      <c r="A839" s="3"/>
      <c r="B839" s="3"/>
      <c r="C839" s="3"/>
      <c r="D839" s="3"/>
    </row>
    <row r="840" spans="1:4" ht="16.5" customHeight="1">
      <c r="A840" s="3"/>
      <c r="B840" s="3"/>
      <c r="C840" s="3"/>
      <c r="D840" s="3"/>
    </row>
    <row r="841" spans="1:4" ht="16.5" customHeight="1">
      <c r="A841" s="3"/>
      <c r="B841" s="3"/>
      <c r="C841" s="3"/>
      <c r="D841" s="3"/>
    </row>
    <row r="842" spans="1:4" ht="16.5" customHeight="1">
      <c r="A842" s="3"/>
      <c r="B842" s="3"/>
      <c r="C842" s="3"/>
      <c r="D842" s="3"/>
    </row>
    <row r="843" spans="1:4" ht="16.5" customHeight="1">
      <c r="A843" s="3"/>
      <c r="B843" s="3"/>
      <c r="C843" s="3"/>
      <c r="D843" s="3"/>
    </row>
    <row r="844" spans="1:4" ht="16.5" customHeight="1">
      <c r="A844" s="3"/>
      <c r="B844" s="3"/>
      <c r="C844" s="3"/>
      <c r="D844" s="3"/>
    </row>
    <row r="845" spans="1:4" ht="16.5" customHeight="1">
      <c r="A845" s="3"/>
      <c r="B845" s="3"/>
      <c r="C845" s="3"/>
      <c r="D845" s="3"/>
    </row>
    <row r="846" spans="1:4" ht="16.5" customHeight="1">
      <c r="A846" s="3"/>
      <c r="B846" s="3"/>
      <c r="C846" s="3"/>
      <c r="D846" s="3"/>
    </row>
    <row r="847" spans="1:4" ht="16.5" customHeight="1">
      <c r="A847" s="3"/>
      <c r="B847" s="3"/>
      <c r="C847" s="3"/>
      <c r="D847" s="3"/>
    </row>
    <row r="848" spans="1:4" ht="16.5" customHeight="1">
      <c r="A848" s="3"/>
      <c r="B848" s="3"/>
      <c r="C848" s="3"/>
      <c r="D848" s="3"/>
    </row>
    <row r="849" spans="1:4" ht="16.5" customHeight="1">
      <c r="A849" s="3"/>
      <c r="B849" s="3"/>
      <c r="C849" s="3"/>
      <c r="D849" s="3"/>
    </row>
    <row r="850" spans="1:4" ht="16.5" customHeight="1">
      <c r="A850" s="3"/>
      <c r="B850" s="3"/>
      <c r="C850" s="3"/>
      <c r="D850" s="3"/>
    </row>
    <row r="851" spans="1:4" ht="16.5" customHeight="1">
      <c r="A851" s="3"/>
      <c r="B851" s="3"/>
      <c r="C851" s="3"/>
      <c r="D851" s="3"/>
    </row>
    <row r="852" spans="1:4" ht="16.5" customHeight="1">
      <c r="A852" s="3"/>
      <c r="B852" s="3"/>
      <c r="C852" s="3"/>
      <c r="D852" s="3"/>
    </row>
    <row r="853" spans="1:4" ht="16.5" customHeight="1">
      <c r="A853" s="3"/>
      <c r="B853" s="3"/>
      <c r="C853" s="3"/>
      <c r="D853" s="3"/>
    </row>
    <row r="854" spans="1:4" ht="16.5" customHeight="1">
      <c r="A854" s="3"/>
      <c r="B854" s="3"/>
      <c r="C854" s="3"/>
      <c r="D854" s="3"/>
    </row>
    <row r="855" spans="1:4" ht="16.5" customHeight="1">
      <c r="A855" s="3"/>
      <c r="B855" s="3"/>
      <c r="C855" s="3"/>
      <c r="D855" s="3"/>
    </row>
    <row r="856" spans="1:4" ht="16.5" customHeight="1">
      <c r="A856" s="3"/>
      <c r="B856" s="3"/>
      <c r="C856" s="3"/>
      <c r="D856" s="3"/>
    </row>
    <row r="857" spans="1:4" ht="16.5" customHeight="1">
      <c r="A857" s="3"/>
      <c r="B857" s="3"/>
      <c r="C857" s="3"/>
      <c r="D857" s="3"/>
    </row>
    <row r="858" spans="1:4" ht="16.5" customHeight="1">
      <c r="A858" s="3"/>
      <c r="B858" s="3"/>
      <c r="C858" s="3"/>
      <c r="D858" s="3"/>
    </row>
    <row r="859" spans="1:4" ht="16.5" customHeight="1">
      <c r="A859" s="3"/>
      <c r="B859" s="3"/>
      <c r="C859" s="3"/>
      <c r="D859" s="3"/>
    </row>
    <row r="860" spans="1:4" ht="16.5" customHeight="1">
      <c r="A860" s="3"/>
      <c r="B860" s="3"/>
      <c r="C860" s="3"/>
      <c r="D860" s="3"/>
    </row>
    <row r="861" spans="1:4" ht="16.5" customHeight="1">
      <c r="A861" s="3"/>
      <c r="B861" s="3"/>
      <c r="C861" s="3"/>
      <c r="D861" s="3"/>
    </row>
    <row r="862" spans="1:4" ht="16.5" customHeight="1">
      <c r="A862" s="3"/>
      <c r="B862" s="3"/>
      <c r="C862" s="3"/>
      <c r="D862" s="3"/>
    </row>
    <row r="863" spans="1:4" ht="16.5" customHeight="1">
      <c r="A863" s="3"/>
      <c r="B863" s="3"/>
      <c r="C863" s="3"/>
      <c r="D863" s="3"/>
    </row>
    <row r="864" spans="1:4" ht="16.5" customHeight="1">
      <c r="A864" s="3"/>
      <c r="B864" s="3"/>
      <c r="C864" s="3"/>
      <c r="D864" s="3"/>
    </row>
    <row r="865" spans="1:4" ht="16.5" customHeight="1">
      <c r="A865" s="3"/>
      <c r="B865" s="3"/>
      <c r="C865" s="3"/>
      <c r="D865" s="3"/>
    </row>
    <row r="866" spans="1:4" ht="16.5" customHeight="1">
      <c r="A866" s="3"/>
      <c r="B866" s="3"/>
      <c r="C866" s="3"/>
      <c r="D866" s="3"/>
    </row>
    <row r="867" spans="1:4" ht="16.5" customHeight="1">
      <c r="A867" s="3"/>
      <c r="B867" s="3"/>
      <c r="C867" s="3"/>
      <c r="D867" s="3"/>
    </row>
    <row r="868" spans="1:4" ht="16.5" customHeight="1">
      <c r="A868" s="3"/>
      <c r="B868" s="3"/>
      <c r="C868" s="3"/>
      <c r="D868" s="3"/>
    </row>
    <row r="869" spans="1:4" ht="16.5" customHeight="1">
      <c r="A869" s="3"/>
      <c r="B869" s="3"/>
      <c r="C869" s="3"/>
      <c r="D869" s="3"/>
    </row>
    <row r="870" spans="1:4" ht="16.5" customHeight="1">
      <c r="A870" s="3"/>
      <c r="B870" s="3"/>
      <c r="C870" s="3"/>
      <c r="D870" s="3"/>
    </row>
    <row r="871" spans="1:4" ht="16.5" customHeight="1">
      <c r="A871" s="3"/>
      <c r="B871" s="3"/>
      <c r="C871" s="3"/>
      <c r="D871" s="3"/>
    </row>
    <row r="872" spans="1:4" ht="16.5" customHeight="1">
      <c r="A872" s="3"/>
      <c r="B872" s="3"/>
      <c r="C872" s="3"/>
      <c r="D872" s="3"/>
    </row>
    <row r="873" spans="1:4" ht="16.5" customHeight="1">
      <c r="A873" s="3"/>
      <c r="B873" s="3"/>
      <c r="C873" s="3"/>
      <c r="D873" s="3"/>
    </row>
    <row r="874" spans="1:4" ht="16.5" customHeight="1">
      <c r="A874" s="3"/>
      <c r="B874" s="3"/>
      <c r="C874" s="3"/>
      <c r="D874" s="3"/>
    </row>
    <row r="875" spans="1:4" ht="16.5" customHeight="1">
      <c r="A875" s="3"/>
      <c r="B875" s="3"/>
      <c r="C875" s="3"/>
      <c r="D875" s="3"/>
    </row>
    <row r="876" spans="1:4" ht="16.5" customHeight="1">
      <c r="A876" s="3"/>
      <c r="B876" s="3"/>
      <c r="C876" s="3"/>
      <c r="D876" s="3"/>
    </row>
    <row r="877" spans="1:4" ht="16.5" customHeight="1">
      <c r="A877" s="3"/>
      <c r="B877" s="3"/>
      <c r="C877" s="3"/>
      <c r="D877" s="3"/>
    </row>
    <row r="878" spans="1:4" ht="16.5" customHeight="1">
      <c r="A878" s="3"/>
      <c r="B878" s="3"/>
      <c r="C878" s="3"/>
      <c r="D878" s="3"/>
    </row>
    <row r="879" spans="1:4" ht="16.5" customHeight="1">
      <c r="A879" s="3"/>
      <c r="B879" s="3"/>
      <c r="C879" s="3"/>
      <c r="D879" s="3"/>
    </row>
    <row r="880" spans="1:4" ht="16.5" customHeight="1">
      <c r="A880" s="3"/>
      <c r="B880" s="3"/>
      <c r="C880" s="3"/>
      <c r="D880" s="3"/>
    </row>
    <row r="881" spans="1:4" ht="16.5" customHeight="1">
      <c r="A881" s="3"/>
      <c r="B881" s="3"/>
      <c r="C881" s="3"/>
      <c r="D881" s="3"/>
    </row>
    <row r="882" spans="1:4" ht="16.5" customHeight="1">
      <c r="A882" s="3"/>
      <c r="B882" s="3"/>
      <c r="C882" s="3"/>
      <c r="D882" s="3"/>
    </row>
    <row r="883" spans="1:4" ht="16.5" customHeight="1">
      <c r="A883" s="3"/>
      <c r="B883" s="3"/>
      <c r="C883" s="3"/>
      <c r="D883" s="3"/>
    </row>
    <row r="884" spans="1:4" ht="16.5" customHeight="1">
      <c r="A884" s="3"/>
      <c r="B884" s="3"/>
      <c r="C884" s="3"/>
      <c r="D884" s="3"/>
    </row>
    <row r="885" spans="1:4" ht="16.5" customHeight="1">
      <c r="A885" s="3"/>
      <c r="B885" s="3"/>
      <c r="C885" s="3"/>
      <c r="D885" s="3"/>
    </row>
    <row r="886" spans="1:4" ht="16.5" customHeight="1">
      <c r="A886" s="3"/>
      <c r="B886" s="3"/>
      <c r="C886" s="3"/>
      <c r="D886" s="3"/>
    </row>
    <row r="887" spans="1:4" ht="16.5" customHeight="1">
      <c r="A887" s="3"/>
      <c r="B887" s="3"/>
      <c r="C887" s="3"/>
      <c r="D887" s="3"/>
    </row>
    <row r="888" spans="1:4" ht="16.5" customHeight="1">
      <c r="A888" s="3"/>
      <c r="B888" s="3"/>
      <c r="C888" s="3"/>
      <c r="D888" s="3"/>
    </row>
    <row r="889" spans="1:4" ht="16.5" customHeight="1">
      <c r="A889" s="3"/>
      <c r="B889" s="3"/>
      <c r="C889" s="3"/>
      <c r="D889" s="3"/>
    </row>
    <row r="890" spans="1:4" ht="16.5" customHeight="1">
      <c r="A890" s="3"/>
      <c r="B890" s="3"/>
      <c r="C890" s="3"/>
      <c r="D890" s="3"/>
    </row>
    <row r="891" spans="1:4" ht="16.5" customHeight="1">
      <c r="A891" s="3"/>
      <c r="B891" s="3"/>
      <c r="C891" s="3"/>
      <c r="D891" s="3"/>
    </row>
    <row r="892" spans="1:4" ht="16.5" customHeight="1">
      <c r="A892" s="3"/>
      <c r="B892" s="3"/>
      <c r="C892" s="3"/>
      <c r="D892" s="3"/>
    </row>
    <row r="893" spans="1:4" ht="16.5" customHeight="1">
      <c r="A893" s="3"/>
      <c r="B893" s="3"/>
      <c r="C893" s="3"/>
      <c r="D893" s="3"/>
    </row>
    <row r="894" spans="1:4" ht="16.5" customHeight="1">
      <c r="A894" s="3"/>
      <c r="B894" s="3"/>
      <c r="C894" s="3"/>
      <c r="D894" s="3"/>
    </row>
    <row r="895" spans="1:4" ht="16.5" customHeight="1">
      <c r="A895" s="3"/>
      <c r="B895" s="3"/>
      <c r="C895" s="3"/>
      <c r="D895" s="3"/>
    </row>
    <row r="896" spans="1:4" ht="16.5" customHeight="1">
      <c r="A896" s="3"/>
      <c r="B896" s="3"/>
      <c r="C896" s="3"/>
      <c r="D896" s="3"/>
    </row>
    <row r="897" spans="1:4" ht="16.5" customHeight="1">
      <c r="A897" s="3"/>
      <c r="B897" s="3"/>
      <c r="C897" s="3"/>
      <c r="D897" s="3"/>
    </row>
    <row r="898" spans="1:4" ht="16.5" customHeight="1">
      <c r="A898" s="3"/>
      <c r="B898" s="3"/>
      <c r="C898" s="3"/>
      <c r="D898" s="3"/>
    </row>
    <row r="899" spans="1:4" ht="16.5" customHeight="1">
      <c r="A899" s="3"/>
      <c r="B899" s="3"/>
      <c r="C899" s="3"/>
      <c r="D899" s="3"/>
    </row>
    <row r="900" spans="1:4" ht="16.5" customHeight="1">
      <c r="A900" s="3"/>
      <c r="B900" s="3"/>
      <c r="C900" s="3"/>
      <c r="D900" s="3"/>
    </row>
    <row r="901" spans="1:4" ht="16.5" customHeight="1">
      <c r="A901" s="3"/>
      <c r="B901" s="3"/>
      <c r="C901" s="3"/>
      <c r="D901" s="3"/>
    </row>
    <row r="902" spans="1:4" ht="16.5" customHeight="1">
      <c r="A902" s="3"/>
      <c r="B902" s="3"/>
      <c r="C902" s="3"/>
      <c r="D902" s="3"/>
    </row>
    <row r="903" spans="1:4" ht="16.5" customHeight="1">
      <c r="A903" s="3"/>
      <c r="B903" s="3"/>
      <c r="C903" s="3"/>
      <c r="D903" s="3"/>
    </row>
    <row r="904" spans="1:4" ht="16.5" customHeight="1">
      <c r="A904" s="3"/>
      <c r="B904" s="3"/>
      <c r="C904" s="3"/>
      <c r="D904" s="3"/>
    </row>
    <row r="905" spans="1:4" ht="16.5" customHeight="1">
      <c r="A905" s="3"/>
      <c r="B905" s="3"/>
      <c r="C905" s="3"/>
      <c r="D905" s="3"/>
    </row>
    <row r="906" spans="1:4" ht="16.5" customHeight="1">
      <c r="A906" s="3"/>
      <c r="B906" s="3"/>
      <c r="C906" s="3"/>
      <c r="D906" s="3"/>
    </row>
    <row r="907" spans="1:4" ht="16.5" customHeight="1">
      <c r="A907" s="3"/>
      <c r="B907" s="3"/>
      <c r="C907" s="3"/>
      <c r="D907" s="3"/>
    </row>
    <row r="908" spans="1:4" ht="16.5" customHeight="1">
      <c r="A908" s="3"/>
      <c r="B908" s="3"/>
      <c r="C908" s="3"/>
      <c r="D908" s="3"/>
    </row>
    <row r="909" spans="1:4" ht="16.5" customHeight="1">
      <c r="A909" s="3"/>
      <c r="B909" s="3"/>
      <c r="C909" s="3"/>
      <c r="D909" s="3"/>
    </row>
    <row r="910" spans="1:4" ht="16.5" customHeight="1">
      <c r="A910" s="3"/>
      <c r="B910" s="3"/>
      <c r="C910" s="3"/>
      <c r="D910" s="3"/>
    </row>
    <row r="911" spans="1:4" ht="16.5" customHeight="1">
      <c r="A911" s="3"/>
      <c r="B911" s="3"/>
      <c r="C911" s="3"/>
      <c r="D911" s="3"/>
    </row>
    <row r="912" spans="1:4" ht="16.5" customHeight="1">
      <c r="A912" s="3"/>
      <c r="B912" s="3"/>
      <c r="C912" s="3"/>
      <c r="D912" s="3"/>
    </row>
    <row r="913" spans="1:4" ht="16.5" customHeight="1">
      <c r="A913" s="3"/>
      <c r="B913" s="3"/>
      <c r="C913" s="3"/>
      <c r="D913" s="3"/>
    </row>
    <row r="914" spans="1:4" ht="16.5" customHeight="1">
      <c r="A914" s="3"/>
      <c r="B914" s="3"/>
      <c r="C914" s="3"/>
      <c r="D914" s="3"/>
    </row>
    <row r="915" spans="1:4" ht="16.5" customHeight="1">
      <c r="A915" s="3"/>
      <c r="B915" s="3"/>
      <c r="C915" s="3"/>
      <c r="D915" s="3"/>
    </row>
    <row r="916" spans="1:4" ht="16.5" customHeight="1">
      <c r="A916" s="3"/>
      <c r="B916" s="3"/>
      <c r="C916" s="3"/>
      <c r="D916" s="3"/>
    </row>
    <row r="917" spans="1:4" ht="16.5" customHeight="1">
      <c r="A917" s="3"/>
      <c r="B917" s="3"/>
      <c r="C917" s="3"/>
      <c r="D917" s="3"/>
    </row>
    <row r="918" spans="1:4" ht="16.5" customHeight="1">
      <c r="A918" s="3"/>
      <c r="B918" s="3"/>
      <c r="C918" s="3"/>
      <c r="D918" s="3"/>
    </row>
    <row r="919" spans="1:4" ht="16.5" customHeight="1">
      <c r="A919" s="3"/>
      <c r="B919" s="3"/>
      <c r="C919" s="3"/>
      <c r="D919" s="3"/>
    </row>
    <row r="920" spans="1:4" ht="16.5" customHeight="1">
      <c r="A920" s="3"/>
      <c r="B920" s="3"/>
      <c r="C920" s="3"/>
      <c r="D920" s="3"/>
    </row>
    <row r="921" spans="1:4" ht="16.5" customHeight="1">
      <c r="A921" s="3"/>
      <c r="B921" s="3"/>
      <c r="C921" s="3"/>
      <c r="D921" s="3"/>
    </row>
    <row r="922" spans="1:4" ht="16.5" customHeight="1">
      <c r="A922" s="3"/>
      <c r="B922" s="3"/>
      <c r="C922" s="3"/>
      <c r="D922" s="3"/>
    </row>
    <row r="923" spans="1:4" ht="16.5" customHeight="1">
      <c r="A923" s="3"/>
      <c r="B923" s="3"/>
      <c r="C923" s="3"/>
      <c r="D923" s="3"/>
    </row>
    <row r="924" spans="1:4" ht="16.5" customHeight="1">
      <c r="A924" s="3"/>
      <c r="B924" s="3"/>
      <c r="C924" s="3"/>
      <c r="D924" s="3"/>
    </row>
    <row r="925" spans="1:4" ht="16.5" customHeight="1">
      <c r="A925" s="3"/>
      <c r="B925" s="3"/>
      <c r="C925" s="3"/>
      <c r="D925" s="3"/>
    </row>
    <row r="926" spans="1:4" ht="16.5" customHeight="1">
      <c r="A926" s="3"/>
      <c r="B926" s="3"/>
      <c r="C926" s="3"/>
      <c r="D926" s="3"/>
    </row>
    <row r="927" spans="1:4" ht="16.5" customHeight="1">
      <c r="A927" s="3"/>
      <c r="B927" s="3"/>
      <c r="C927" s="3"/>
      <c r="D927" s="3"/>
    </row>
    <row r="928" spans="1:4" ht="16.5" customHeight="1">
      <c r="A928" s="3"/>
      <c r="B928" s="3"/>
      <c r="C928" s="3"/>
      <c r="D928" s="3"/>
    </row>
    <row r="929" spans="1:4" ht="16.5" customHeight="1">
      <c r="A929" s="3"/>
      <c r="B929" s="3"/>
      <c r="C929" s="3"/>
      <c r="D929" s="3"/>
    </row>
    <row r="930" spans="1:4" ht="16.5" customHeight="1">
      <c r="A930" s="3"/>
      <c r="B930" s="3"/>
      <c r="C930" s="3"/>
      <c r="D930" s="3"/>
    </row>
    <row r="931" spans="1:4" ht="16.5" customHeight="1">
      <c r="A931" s="3"/>
      <c r="B931" s="3"/>
      <c r="C931" s="3"/>
      <c r="D931" s="3"/>
    </row>
    <row r="932" spans="1:4" ht="16.5" customHeight="1">
      <c r="A932" s="3"/>
      <c r="B932" s="3"/>
      <c r="C932" s="3"/>
      <c r="D932" s="3"/>
    </row>
    <row r="933" spans="1:4" ht="16.5" customHeight="1">
      <c r="A933" s="3"/>
      <c r="B933" s="3"/>
      <c r="C933" s="3"/>
      <c r="D933" s="3"/>
    </row>
    <row r="934" spans="1:4" ht="16.5" customHeight="1">
      <c r="A934" s="3"/>
      <c r="B934" s="3"/>
      <c r="C934" s="3"/>
      <c r="D934" s="3"/>
    </row>
    <row r="935" spans="1:4" ht="16.5" customHeight="1">
      <c r="A935" s="3"/>
      <c r="B935" s="3"/>
      <c r="C935" s="3"/>
      <c r="D935" s="3"/>
    </row>
    <row r="936" spans="1:4" ht="16.5" customHeight="1">
      <c r="A936" s="3"/>
      <c r="B936" s="3"/>
      <c r="C936" s="3"/>
      <c r="D936" s="3"/>
    </row>
    <row r="937" spans="1:4" ht="16.5" customHeight="1">
      <c r="A937" s="3"/>
      <c r="B937" s="3"/>
      <c r="C937" s="3"/>
      <c r="D937" s="3"/>
    </row>
    <row r="938" spans="1:4" ht="16.5" customHeight="1">
      <c r="A938" s="3"/>
      <c r="B938" s="3"/>
      <c r="C938" s="3"/>
      <c r="D938" s="3"/>
    </row>
    <row r="939" spans="1:4" ht="16.5" customHeight="1">
      <c r="A939" s="3"/>
      <c r="B939" s="3"/>
      <c r="C939" s="3"/>
      <c r="D939" s="3"/>
    </row>
    <row r="940" spans="1:4" ht="16.5" customHeight="1">
      <c r="A940" s="3"/>
      <c r="B940" s="3"/>
      <c r="C940" s="3"/>
      <c r="D940" s="3"/>
    </row>
    <row r="941" spans="1:4" ht="16.5" customHeight="1">
      <c r="A941" s="3"/>
      <c r="B941" s="3"/>
      <c r="C941" s="3"/>
      <c r="D941" s="3"/>
    </row>
    <row r="942" spans="1:4" ht="16.5" customHeight="1">
      <c r="A942" s="3"/>
      <c r="B942" s="3"/>
      <c r="C942" s="3"/>
      <c r="D942" s="3"/>
    </row>
    <row r="943" spans="1:4" ht="16.5" customHeight="1">
      <c r="A943" s="3"/>
      <c r="B943" s="3"/>
      <c r="C943" s="3"/>
      <c r="D943" s="3"/>
    </row>
    <row r="944" spans="1:4" ht="16.5" customHeight="1">
      <c r="A944" s="3"/>
      <c r="B944" s="3"/>
      <c r="C944" s="3"/>
      <c r="D944" s="3"/>
    </row>
    <row r="945" spans="1:4" ht="16.5" customHeight="1">
      <c r="A945" s="3"/>
      <c r="B945" s="3"/>
      <c r="C945" s="3"/>
      <c r="D945" s="3"/>
    </row>
    <row r="946" spans="1:4" ht="16.5" customHeight="1">
      <c r="A946" s="3"/>
      <c r="B946" s="3"/>
      <c r="C946" s="3"/>
      <c r="D946" s="3"/>
    </row>
    <row r="947" spans="1:4" ht="16.5" customHeight="1">
      <c r="A947" s="3"/>
      <c r="B947" s="3"/>
      <c r="C947" s="3"/>
      <c r="D947" s="3"/>
    </row>
    <row r="948" spans="1:4" ht="16.5" customHeight="1">
      <c r="A948" s="3"/>
      <c r="B948" s="3"/>
      <c r="C948" s="3"/>
      <c r="D948" s="3"/>
    </row>
    <row r="949" spans="1:4" ht="16.5" customHeight="1">
      <c r="A949" s="3"/>
      <c r="B949" s="3"/>
      <c r="C949" s="3"/>
      <c r="D949" s="3"/>
    </row>
    <row r="950" spans="1:4" ht="16.5" customHeight="1">
      <c r="A950" s="3"/>
      <c r="B950" s="3"/>
      <c r="C950" s="3"/>
      <c r="D950" s="3"/>
    </row>
    <row r="951" spans="1:4" ht="16.5" customHeight="1">
      <c r="A951" s="3"/>
      <c r="B951" s="3"/>
      <c r="C951" s="3"/>
      <c r="D951" s="3"/>
    </row>
    <row r="952" spans="1:4" ht="16.5" customHeight="1">
      <c r="A952" s="3"/>
      <c r="B952" s="3"/>
      <c r="C952" s="3"/>
      <c r="D952" s="3"/>
    </row>
    <row r="953" spans="1:4" ht="16.5" customHeight="1">
      <c r="A953" s="3"/>
      <c r="B953" s="3"/>
      <c r="C953" s="3"/>
      <c r="D953" s="3"/>
    </row>
    <row r="954" spans="1:4" ht="16.5" customHeight="1">
      <c r="A954" s="3"/>
      <c r="B954" s="3"/>
      <c r="C954" s="3"/>
      <c r="D954" s="3"/>
    </row>
    <row r="955" spans="1:4" ht="16.5" customHeight="1">
      <c r="A955" s="3"/>
      <c r="B955" s="3"/>
      <c r="C955" s="3"/>
      <c r="D955" s="3"/>
    </row>
    <row r="956" spans="1:4" ht="16.5" customHeight="1">
      <c r="A956" s="3"/>
      <c r="B956" s="3"/>
      <c r="C956" s="3"/>
      <c r="D956" s="3"/>
    </row>
    <row r="957" spans="1:4" ht="16.5" customHeight="1">
      <c r="A957" s="3"/>
      <c r="B957" s="3"/>
      <c r="C957" s="3"/>
      <c r="D957" s="3"/>
    </row>
    <row r="958" spans="1:4" ht="16.5" customHeight="1">
      <c r="A958" s="3"/>
      <c r="B958" s="3"/>
      <c r="C958" s="3"/>
      <c r="D958" s="3"/>
    </row>
    <row r="959" spans="1:4" ht="16.5" customHeight="1">
      <c r="A959" s="3"/>
      <c r="B959" s="3"/>
      <c r="C959" s="3"/>
      <c r="D959" s="3"/>
    </row>
    <row r="960" spans="1:4" ht="16.5" customHeight="1">
      <c r="A960" s="3"/>
      <c r="B960" s="3"/>
      <c r="C960" s="3"/>
      <c r="D960" s="3"/>
    </row>
    <row r="961" spans="1:4" ht="16.5" customHeight="1">
      <c r="A961" s="3"/>
      <c r="B961" s="3"/>
      <c r="C961" s="3"/>
      <c r="D961" s="3"/>
    </row>
    <row r="962" spans="1:4" ht="16.5" customHeight="1">
      <c r="A962" s="3"/>
      <c r="B962" s="3"/>
      <c r="C962" s="3"/>
      <c r="D962" s="3"/>
    </row>
    <row r="963" spans="1:4" ht="16.5" customHeight="1">
      <c r="A963" s="3"/>
      <c r="B963" s="3"/>
      <c r="C963" s="3"/>
      <c r="D963" s="3"/>
    </row>
    <row r="964" spans="1:4" ht="16.5" customHeight="1">
      <c r="A964" s="3"/>
      <c r="B964" s="3"/>
      <c r="C964" s="3"/>
      <c r="D964" s="3"/>
    </row>
    <row r="965" spans="1:4" ht="16.5" customHeight="1">
      <c r="A965" s="3"/>
      <c r="B965" s="3"/>
      <c r="C965" s="3"/>
      <c r="D965" s="3"/>
    </row>
    <row r="966" spans="1:4" ht="16.5" customHeight="1">
      <c r="A966" s="3"/>
      <c r="B966" s="3"/>
      <c r="C966" s="3"/>
      <c r="D966" s="3"/>
    </row>
    <row r="967" spans="1:4" ht="16.5" customHeight="1">
      <c r="A967" s="3"/>
      <c r="B967" s="3"/>
      <c r="C967" s="3"/>
      <c r="D967" s="3"/>
    </row>
    <row r="968" spans="1:4" ht="16.5" customHeight="1">
      <c r="A968" s="3"/>
      <c r="B968" s="3"/>
      <c r="C968" s="3"/>
      <c r="D968" s="3"/>
    </row>
    <row r="969" spans="1:4" ht="16.5" customHeight="1">
      <c r="A969" s="3"/>
      <c r="B969" s="3"/>
      <c r="C969" s="3"/>
      <c r="D969" s="3"/>
    </row>
    <row r="970" spans="1:4" ht="16.5" customHeight="1">
      <c r="A970" s="3"/>
      <c r="B970" s="3"/>
      <c r="C970" s="3"/>
      <c r="D970" s="3"/>
    </row>
    <row r="971" spans="1:4" ht="16.5" customHeight="1">
      <c r="A971" s="3"/>
      <c r="B971" s="3"/>
      <c r="C971" s="3"/>
      <c r="D971" s="3"/>
    </row>
    <row r="972" spans="1:4" ht="16.5" customHeight="1">
      <c r="A972" s="3"/>
      <c r="B972" s="3"/>
      <c r="C972" s="3"/>
      <c r="D972" s="3"/>
    </row>
    <row r="973" spans="1:4" ht="16.5" customHeight="1">
      <c r="A973" s="3"/>
      <c r="B973" s="3"/>
      <c r="C973" s="3"/>
      <c r="D973" s="3"/>
    </row>
    <row r="974" spans="1:4" ht="16.5" customHeight="1">
      <c r="A974" s="3"/>
      <c r="B974" s="3"/>
      <c r="C974" s="3"/>
      <c r="D974" s="3"/>
    </row>
    <row r="975" spans="1:4" ht="16.5" customHeight="1">
      <c r="A975" s="3"/>
      <c r="B975" s="3"/>
      <c r="C975" s="3"/>
      <c r="D975" s="3"/>
    </row>
    <row r="976" spans="1:4" ht="16.5" customHeight="1">
      <c r="A976" s="3"/>
      <c r="B976" s="3"/>
      <c r="C976" s="3"/>
      <c r="D976" s="3"/>
    </row>
    <row r="977" spans="1:4" ht="16.5" customHeight="1">
      <c r="A977" s="3"/>
      <c r="B977" s="3"/>
      <c r="C977" s="3"/>
      <c r="D977" s="3"/>
    </row>
    <row r="978" spans="1:4" ht="16.5" customHeight="1">
      <c r="A978" s="3"/>
      <c r="B978" s="3"/>
      <c r="C978" s="3"/>
      <c r="D978" s="3"/>
    </row>
    <row r="979" spans="1:4" ht="16.5" customHeight="1">
      <c r="A979" s="3"/>
      <c r="B979" s="3"/>
      <c r="C979" s="3"/>
      <c r="D979" s="3"/>
    </row>
    <row r="980" spans="1:4" ht="16.5" customHeight="1">
      <c r="A980" s="3"/>
      <c r="B980" s="3"/>
      <c r="C980" s="3"/>
      <c r="D980" s="3"/>
    </row>
    <row r="981" spans="1:4" ht="16.5" customHeight="1">
      <c r="A981" s="3"/>
      <c r="B981" s="3"/>
      <c r="C981" s="3"/>
      <c r="D981" s="3"/>
    </row>
    <row r="982" spans="1:4" ht="16.5" customHeight="1">
      <c r="A982" s="3"/>
      <c r="B982" s="3"/>
      <c r="C982" s="3"/>
      <c r="D982" s="3"/>
    </row>
    <row r="983" spans="1:4" ht="16.5" customHeight="1">
      <c r="A983" s="3"/>
      <c r="B983" s="3"/>
      <c r="C983" s="3"/>
      <c r="D983" s="3"/>
    </row>
    <row r="984" spans="1:4" ht="16.5" customHeight="1">
      <c r="A984" s="3"/>
      <c r="B984" s="3"/>
      <c r="C984" s="3"/>
      <c r="D984" s="3"/>
    </row>
    <row r="985" spans="1:4" ht="16.5" customHeight="1">
      <c r="A985" s="3"/>
      <c r="B985" s="3"/>
      <c r="C985" s="3"/>
      <c r="D985" s="3"/>
    </row>
    <row r="986" spans="1:4" ht="16.5" customHeight="1">
      <c r="A986" s="3"/>
      <c r="B986" s="3"/>
      <c r="C986" s="3"/>
      <c r="D986" s="3"/>
    </row>
    <row r="987" spans="1:4" ht="16.5" customHeight="1">
      <c r="A987" s="3"/>
      <c r="B987" s="3"/>
      <c r="C987" s="3"/>
      <c r="D987" s="3"/>
    </row>
    <row r="988" spans="1:4" ht="16.5" customHeight="1">
      <c r="A988" s="3"/>
      <c r="B988" s="3"/>
      <c r="C988" s="3"/>
      <c r="D988" s="3"/>
    </row>
    <row r="989" spans="1:4" ht="16.5" customHeight="1">
      <c r="A989" s="3"/>
      <c r="B989" s="3"/>
      <c r="C989" s="3"/>
      <c r="D989" s="3"/>
    </row>
    <row r="990" spans="1:4" ht="16.5" customHeight="1">
      <c r="A990" s="3"/>
      <c r="B990" s="3"/>
      <c r="C990" s="3"/>
      <c r="D990" s="3"/>
    </row>
    <row r="991" spans="1:4" ht="16.5" customHeight="1">
      <c r="A991" s="3"/>
      <c r="B991" s="3"/>
      <c r="C991" s="3"/>
      <c r="D991" s="3"/>
    </row>
    <row r="992" spans="1:4" ht="16.5" customHeight="1">
      <c r="A992" s="3"/>
      <c r="B992" s="3"/>
      <c r="C992" s="3"/>
      <c r="D992" s="3"/>
    </row>
    <row r="993" spans="1:4" ht="16.5" customHeight="1">
      <c r="A993" s="3"/>
      <c r="B993" s="3"/>
      <c r="C993" s="3"/>
      <c r="D993" s="3"/>
    </row>
    <row r="994" spans="1:4" ht="16.5" customHeight="1">
      <c r="A994" s="3"/>
      <c r="B994" s="3"/>
      <c r="C994" s="3"/>
      <c r="D994" s="3"/>
    </row>
    <row r="995" spans="1:4" ht="16.5" customHeight="1">
      <c r="A995" s="3"/>
      <c r="B995" s="3"/>
      <c r="C995" s="3"/>
      <c r="D995" s="3"/>
    </row>
    <row r="996" spans="1:4" ht="16.5" customHeight="1">
      <c r="A996" s="3"/>
      <c r="B996" s="3"/>
      <c r="C996" s="3"/>
      <c r="D996" s="3"/>
    </row>
    <row r="997" spans="1:4" ht="16.5" customHeight="1">
      <c r="A997" s="3"/>
      <c r="B997" s="3"/>
      <c r="C997" s="3"/>
      <c r="D997" s="3"/>
    </row>
    <row r="998" spans="1:4" ht="16.5" customHeight="1">
      <c r="A998" s="3"/>
      <c r="B998" s="3"/>
      <c r="C998" s="3"/>
      <c r="D998" s="3"/>
    </row>
    <row r="999" spans="1:4" ht="16.5" customHeight="1">
      <c r="A999" s="3"/>
      <c r="B999" s="3"/>
      <c r="C999" s="3"/>
      <c r="D999" s="3"/>
    </row>
    <row r="1000" spans="1:4" ht="16.5" customHeight="1">
      <c r="A1000" s="3"/>
      <c r="B1000" s="3"/>
      <c r="C1000" s="3"/>
      <c r="D1000" s="3"/>
    </row>
    <row r="1001" spans="1:4" ht="16.5" customHeight="1">
      <c r="A1001" s="3"/>
      <c r="B1001" s="3"/>
      <c r="C1001" s="3"/>
      <c r="D1001" s="3"/>
    </row>
    <row r="1002" spans="1:4" ht="16.5" customHeight="1">
      <c r="A1002" s="3"/>
      <c r="B1002" s="3"/>
      <c r="C1002" s="3"/>
      <c r="D1002" s="3"/>
    </row>
    <row r="1003" spans="1:4" ht="16.5" customHeight="1">
      <c r="A1003" s="3"/>
      <c r="B1003" s="3"/>
      <c r="C1003" s="3"/>
      <c r="D1003" s="3"/>
    </row>
    <row r="1004" spans="1:4" ht="16.5" customHeight="1">
      <c r="A1004" s="3"/>
      <c r="B1004" s="3"/>
      <c r="C1004" s="3"/>
      <c r="D1004" s="3"/>
    </row>
    <row r="1005" spans="1:4" ht="16.5" customHeight="1">
      <c r="A1005" s="3"/>
      <c r="B1005" s="3"/>
      <c r="C1005" s="3"/>
      <c r="D1005" s="3"/>
    </row>
    <row r="1006" spans="1:4" ht="16.5" customHeight="1">
      <c r="A1006" s="3"/>
      <c r="B1006" s="3"/>
      <c r="C1006" s="3"/>
      <c r="D1006" s="3"/>
    </row>
    <row r="1007" spans="1:4" ht="16.5" customHeight="1">
      <c r="A1007" s="3"/>
      <c r="B1007" s="3"/>
      <c r="C1007" s="3"/>
      <c r="D1007" s="3"/>
    </row>
    <row r="1008" spans="1:4" ht="16.5" customHeight="1">
      <c r="A1008" s="3"/>
      <c r="B1008" s="3"/>
      <c r="C1008" s="3"/>
      <c r="D1008" s="3"/>
    </row>
    <row r="1009" spans="1:4" ht="16.5" customHeight="1">
      <c r="A1009" s="3"/>
      <c r="B1009" s="3"/>
      <c r="C1009" s="3"/>
      <c r="D1009" s="3"/>
    </row>
    <row r="1010" spans="1:4" ht="16.5" customHeight="1">
      <c r="A1010" s="3"/>
      <c r="B1010" s="3"/>
      <c r="C1010" s="3"/>
      <c r="D1010" s="3"/>
    </row>
    <row r="1011" spans="1:4" ht="16.5" customHeight="1">
      <c r="A1011" s="3"/>
      <c r="B1011" s="3"/>
      <c r="C1011" s="3"/>
      <c r="D1011" s="3"/>
    </row>
    <row r="1012" spans="1:4" ht="16.5" customHeight="1">
      <c r="A1012" s="3"/>
      <c r="B1012" s="3"/>
      <c r="C1012" s="3"/>
      <c r="D1012" s="3"/>
    </row>
    <row r="1013" spans="1:4" ht="16.5" customHeight="1">
      <c r="A1013" s="3"/>
      <c r="B1013" s="3"/>
      <c r="C1013" s="3"/>
      <c r="D1013" s="3"/>
    </row>
    <row r="1014" spans="1:4" ht="16.5" customHeight="1">
      <c r="A1014" s="3"/>
      <c r="B1014" s="3"/>
      <c r="C1014" s="3"/>
      <c r="D1014" s="3"/>
    </row>
    <row r="1015" spans="1:4" ht="16.5" customHeight="1">
      <c r="A1015" s="3"/>
      <c r="B1015" s="3"/>
      <c r="C1015" s="3"/>
      <c r="D1015" s="3"/>
    </row>
    <row r="1016" spans="1:4" ht="16.5" customHeight="1">
      <c r="A1016" s="3"/>
      <c r="B1016" s="3"/>
      <c r="C1016" s="3"/>
      <c r="D1016" s="3"/>
    </row>
    <row r="1017" spans="1:4" ht="16.5" customHeight="1">
      <c r="A1017" s="3"/>
      <c r="B1017" s="3"/>
      <c r="C1017" s="3"/>
      <c r="D1017" s="3"/>
    </row>
    <row r="1018" spans="1:4" ht="16.5" customHeight="1">
      <c r="A1018" s="3"/>
      <c r="B1018" s="3"/>
      <c r="C1018" s="3"/>
      <c r="D1018" s="3"/>
    </row>
    <row r="1019" spans="1:4" ht="16.5" customHeight="1">
      <c r="A1019" s="3"/>
      <c r="B1019" s="3"/>
      <c r="C1019" s="3"/>
      <c r="D1019" s="3"/>
    </row>
    <row r="1020" spans="1:4" ht="16.5" customHeight="1">
      <c r="A1020" s="3"/>
      <c r="B1020" s="3"/>
      <c r="C1020" s="3"/>
      <c r="D1020" s="3"/>
    </row>
    <row r="1021" spans="1:4" ht="16.5" customHeight="1">
      <c r="A1021" s="3"/>
      <c r="B1021" s="3"/>
      <c r="C1021" s="3"/>
      <c r="D1021" s="3"/>
    </row>
    <row r="1022" spans="1:4" ht="16.5" customHeight="1">
      <c r="A1022" s="3"/>
      <c r="B1022" s="3"/>
      <c r="C1022" s="3"/>
      <c r="D1022" s="3"/>
    </row>
    <row r="1023" spans="1:4" ht="16.5" customHeight="1">
      <c r="A1023" s="3"/>
      <c r="B1023" s="3"/>
      <c r="C1023" s="3"/>
      <c r="D1023" s="3"/>
    </row>
    <row r="1024" spans="1:4" ht="16.5" customHeight="1">
      <c r="A1024" s="3"/>
      <c r="B1024" s="3"/>
      <c r="C1024" s="3"/>
      <c r="D1024" s="3"/>
    </row>
    <row r="1025" spans="1:4" ht="16.5" customHeight="1">
      <c r="A1025" s="3"/>
      <c r="B1025" s="3"/>
      <c r="C1025" s="3"/>
      <c r="D1025" s="3"/>
    </row>
    <row r="1026" spans="1:4" ht="16.5" customHeight="1">
      <c r="A1026" s="3"/>
      <c r="B1026" s="3"/>
      <c r="C1026" s="3"/>
      <c r="D1026" s="3"/>
    </row>
    <row r="1027" spans="1:4" ht="16.5" customHeight="1">
      <c r="A1027" s="3"/>
      <c r="B1027" s="3"/>
      <c r="C1027" s="3"/>
      <c r="D1027" s="3"/>
    </row>
    <row r="1028" spans="1:4" ht="16.5" customHeight="1">
      <c r="A1028" s="3"/>
      <c r="B1028" s="3"/>
      <c r="C1028" s="3"/>
      <c r="D1028" s="3"/>
    </row>
    <row r="1029" spans="1:4" ht="16.5" customHeight="1">
      <c r="A1029" s="3"/>
      <c r="B1029" s="3"/>
      <c r="C1029" s="3"/>
      <c r="D1029" s="3"/>
    </row>
    <row r="1030" spans="1:4" ht="16.5" customHeight="1">
      <c r="A1030" s="3"/>
      <c r="B1030" s="3"/>
      <c r="C1030" s="3"/>
      <c r="D1030" s="3"/>
    </row>
    <row r="1031" spans="1:4" ht="16.5" customHeight="1">
      <c r="A1031" s="3"/>
      <c r="B1031" s="3"/>
      <c r="C1031" s="3"/>
      <c r="D1031" s="3"/>
    </row>
    <row r="1032" spans="1:4" ht="16.5" customHeight="1">
      <c r="A1032" s="3"/>
      <c r="B1032" s="3"/>
      <c r="C1032" s="3"/>
      <c r="D1032" s="3"/>
    </row>
    <row r="1033" spans="1:4" ht="16.5" customHeight="1">
      <c r="A1033" s="3"/>
      <c r="B1033" s="3"/>
      <c r="C1033" s="3"/>
      <c r="D1033" s="3"/>
    </row>
    <row r="1034" spans="1:4" ht="16.5" customHeight="1">
      <c r="A1034" s="3"/>
      <c r="B1034" s="3"/>
      <c r="C1034" s="3"/>
      <c r="D1034" s="3"/>
    </row>
    <row r="1035" spans="1:4" ht="16.5" customHeight="1">
      <c r="A1035" s="3"/>
      <c r="B1035" s="3"/>
      <c r="C1035" s="3"/>
      <c r="D1035" s="3"/>
    </row>
    <row r="1036" spans="1:4" ht="16.5" customHeight="1">
      <c r="A1036" s="3"/>
      <c r="B1036" s="3"/>
      <c r="C1036" s="3"/>
      <c r="D1036" s="3"/>
    </row>
    <row r="1037" spans="1:4" ht="16.5" customHeight="1">
      <c r="A1037" s="3"/>
      <c r="B1037" s="3"/>
      <c r="C1037" s="3"/>
      <c r="D1037" s="3"/>
    </row>
    <row r="1038" spans="1:4" ht="16.5" customHeight="1">
      <c r="A1038" s="3"/>
      <c r="B1038" s="3"/>
      <c r="C1038" s="3"/>
      <c r="D1038" s="3"/>
    </row>
    <row r="1039" spans="1:4" ht="16.5" customHeight="1">
      <c r="A1039" s="3"/>
      <c r="B1039" s="3"/>
      <c r="C1039" s="3"/>
      <c r="D1039" s="3"/>
    </row>
    <row r="1040" spans="1:4" ht="16.5" customHeight="1">
      <c r="A1040" s="3"/>
      <c r="B1040" s="3"/>
      <c r="C1040" s="3"/>
      <c r="D1040" s="3"/>
    </row>
    <row r="1041" spans="1:4" ht="16.5" customHeight="1">
      <c r="A1041" s="3"/>
      <c r="B1041" s="3"/>
      <c r="C1041" s="3"/>
      <c r="D1041" s="3"/>
    </row>
    <row r="1042" spans="1:4" ht="16.5" customHeight="1">
      <c r="A1042" s="3"/>
      <c r="B1042" s="3"/>
      <c r="C1042" s="3"/>
      <c r="D1042" s="3"/>
    </row>
    <row r="1043" spans="1:4" ht="16.5" customHeight="1">
      <c r="A1043" s="3"/>
      <c r="B1043" s="3"/>
      <c r="C1043" s="3"/>
      <c r="D1043" s="3"/>
    </row>
    <row r="1044" spans="1:4" ht="16.5" customHeight="1">
      <c r="A1044" s="3"/>
      <c r="B1044" s="3"/>
      <c r="C1044" s="3"/>
      <c r="D1044" s="3"/>
    </row>
    <row r="1045" spans="1:4" ht="16.5" customHeight="1">
      <c r="A1045" s="3"/>
      <c r="B1045" s="3"/>
      <c r="C1045" s="3"/>
      <c r="D1045" s="3"/>
    </row>
    <row r="1046" spans="1:4" ht="16.5" customHeight="1">
      <c r="A1046" s="3"/>
      <c r="B1046" s="3"/>
      <c r="C1046" s="3"/>
      <c r="D1046" s="3"/>
    </row>
    <row r="1047" spans="1:4" ht="16.5" customHeight="1">
      <c r="A1047" s="3"/>
      <c r="B1047" s="3"/>
      <c r="C1047" s="3"/>
      <c r="D1047" s="3"/>
    </row>
    <row r="1048" spans="1:4" ht="16.5" customHeight="1">
      <c r="A1048" s="3"/>
      <c r="B1048" s="3"/>
      <c r="C1048" s="3"/>
      <c r="D1048" s="3"/>
    </row>
    <row r="1049" spans="1:4" ht="16.5" customHeight="1">
      <c r="A1049" s="3"/>
      <c r="B1049" s="3"/>
      <c r="C1049" s="3"/>
      <c r="D1049" s="3"/>
    </row>
    <row r="1050" spans="1:4" ht="16.5" customHeight="1">
      <c r="A1050" s="3"/>
      <c r="B1050" s="3"/>
      <c r="C1050" s="3"/>
      <c r="D1050" s="3"/>
    </row>
    <row r="1051" spans="1:4" ht="16.5" customHeight="1">
      <c r="A1051" s="3"/>
      <c r="B1051" s="3"/>
      <c r="C1051" s="3"/>
      <c r="D1051" s="3"/>
    </row>
    <row r="1052" spans="1:4" ht="16.5" customHeight="1">
      <c r="A1052" s="3"/>
      <c r="B1052" s="3"/>
      <c r="C1052" s="3"/>
      <c r="D1052" s="3"/>
    </row>
    <row r="1053" spans="1:4" ht="16.5" customHeight="1">
      <c r="A1053" s="3"/>
      <c r="B1053" s="3"/>
      <c r="C1053" s="3"/>
      <c r="D1053" s="3"/>
    </row>
    <row r="1054" spans="1:4" ht="16.5" customHeight="1">
      <c r="A1054" s="3"/>
      <c r="B1054" s="3"/>
      <c r="C1054" s="3"/>
      <c r="D1054" s="3"/>
    </row>
    <row r="1055" spans="1:4" ht="16.5" customHeight="1">
      <c r="A1055" s="3"/>
      <c r="B1055" s="3"/>
      <c r="C1055" s="3"/>
      <c r="D1055" s="3"/>
    </row>
    <row r="1056" spans="1:4" ht="16.5" customHeight="1">
      <c r="A1056" s="3"/>
      <c r="B1056" s="3"/>
      <c r="C1056" s="3"/>
      <c r="D1056" s="3"/>
    </row>
    <row r="1057" spans="1:4" ht="16.5" customHeight="1">
      <c r="A1057" s="3"/>
      <c r="B1057" s="3"/>
      <c r="C1057" s="3"/>
      <c r="D1057" s="3"/>
    </row>
    <row r="1058" spans="1:4" ht="16.5" customHeight="1">
      <c r="A1058" s="3"/>
      <c r="B1058" s="3"/>
      <c r="C1058" s="3"/>
      <c r="D1058" s="3"/>
    </row>
    <row r="1059" spans="1:4" ht="16.5" customHeight="1">
      <c r="A1059" s="3"/>
      <c r="B1059" s="3"/>
      <c r="C1059" s="3"/>
      <c r="D1059" s="3"/>
    </row>
    <row r="1060" spans="1:4" ht="16.5" customHeight="1">
      <c r="A1060" s="3"/>
      <c r="B1060" s="3"/>
      <c r="C1060" s="3"/>
      <c r="D1060" s="3"/>
    </row>
    <row r="1061" spans="1:4" ht="16.5" customHeight="1">
      <c r="A1061" s="3"/>
      <c r="B1061" s="3"/>
      <c r="C1061" s="3"/>
      <c r="D1061" s="3"/>
    </row>
    <row r="1062" spans="1:4" ht="16.5" customHeight="1">
      <c r="A1062" s="3"/>
      <c r="B1062" s="3"/>
      <c r="C1062" s="3"/>
      <c r="D1062" s="3"/>
    </row>
    <row r="1063" spans="1:4" ht="16.5" customHeight="1">
      <c r="A1063" s="3"/>
      <c r="B1063" s="3"/>
      <c r="C1063" s="3"/>
      <c r="D1063" s="3"/>
    </row>
    <row r="1064" spans="1:4" ht="16.5" customHeight="1">
      <c r="A1064" s="3"/>
      <c r="B1064" s="3"/>
      <c r="C1064" s="3"/>
      <c r="D1064" s="3"/>
    </row>
    <row r="1065" spans="1:4" ht="16.5" customHeight="1">
      <c r="A1065" s="3"/>
      <c r="B1065" s="3"/>
      <c r="C1065" s="3"/>
      <c r="D1065" s="3"/>
    </row>
    <row r="1066" spans="1:4" ht="16.5" customHeight="1">
      <c r="A1066" s="3"/>
      <c r="B1066" s="3"/>
      <c r="C1066" s="3"/>
      <c r="D1066" s="3"/>
    </row>
    <row r="1067" spans="1:4" ht="16.5" customHeight="1">
      <c r="A1067" s="3"/>
      <c r="B1067" s="3"/>
      <c r="C1067" s="3"/>
      <c r="D1067" s="3"/>
    </row>
    <row r="1068" spans="1:4" ht="16.5" customHeight="1">
      <c r="A1068" s="3"/>
      <c r="B1068" s="3"/>
      <c r="C1068" s="3"/>
      <c r="D1068" s="3"/>
    </row>
    <row r="1069" spans="1:4" ht="16.5" customHeight="1">
      <c r="A1069" s="3"/>
      <c r="B1069" s="3"/>
      <c r="C1069" s="3"/>
      <c r="D1069" s="3"/>
    </row>
    <row r="1070" spans="1:4" ht="16.5" customHeight="1">
      <c r="A1070" s="3"/>
      <c r="B1070" s="3"/>
      <c r="C1070" s="3"/>
      <c r="D1070" s="3"/>
    </row>
    <row r="1071" spans="1:4" ht="16.5" customHeight="1">
      <c r="A1071" s="3"/>
      <c r="B1071" s="3"/>
      <c r="C1071" s="3"/>
      <c r="D1071" s="3"/>
    </row>
    <row r="1072" spans="1:4" ht="16.5" customHeight="1">
      <c r="A1072" s="3"/>
      <c r="B1072" s="3"/>
      <c r="C1072" s="3"/>
      <c r="D1072" s="3"/>
    </row>
    <row r="1073" spans="1:4" ht="16.5" customHeight="1">
      <c r="A1073" s="3"/>
      <c r="B1073" s="3"/>
      <c r="C1073" s="3"/>
      <c r="D1073" s="3"/>
    </row>
    <row r="1074" spans="1:4" ht="16.5" customHeight="1">
      <c r="A1074" s="3"/>
      <c r="B1074" s="3"/>
      <c r="C1074" s="3"/>
      <c r="D1074" s="3"/>
    </row>
    <row r="1075" spans="1:4" ht="16.5" customHeight="1">
      <c r="A1075" s="3"/>
      <c r="B1075" s="3"/>
      <c r="C1075" s="3"/>
      <c r="D1075" s="3"/>
    </row>
    <row r="1076" spans="1:4" ht="16.5" customHeight="1">
      <c r="A1076" s="3"/>
      <c r="B1076" s="3"/>
      <c r="C1076" s="3"/>
      <c r="D1076" s="3"/>
    </row>
    <row r="1077" spans="1:4" ht="16.5" customHeight="1">
      <c r="A1077" s="3"/>
      <c r="B1077" s="3"/>
      <c r="C1077" s="3"/>
      <c r="D1077" s="3"/>
    </row>
    <row r="1078" spans="1:4" ht="16.5" customHeight="1">
      <c r="A1078" s="3"/>
      <c r="B1078" s="3"/>
      <c r="C1078" s="3"/>
      <c r="D1078" s="3"/>
    </row>
    <row r="1079" spans="1:4" ht="16.5" customHeight="1">
      <c r="A1079" s="3"/>
      <c r="B1079" s="3"/>
      <c r="C1079" s="3"/>
      <c r="D1079" s="3"/>
    </row>
    <row r="1080" spans="1:4" ht="16.5" customHeight="1">
      <c r="A1080" s="3"/>
      <c r="B1080" s="3"/>
      <c r="C1080" s="3"/>
      <c r="D1080" s="3"/>
    </row>
    <row r="1081" spans="1:4" ht="16.5" customHeight="1">
      <c r="A1081" s="3"/>
      <c r="B1081" s="3"/>
      <c r="C1081" s="3"/>
      <c r="D1081" s="3"/>
    </row>
    <row r="1082" spans="1:4" ht="16.5" customHeight="1">
      <c r="A1082" s="3"/>
      <c r="B1082" s="3"/>
      <c r="C1082" s="3"/>
      <c r="D1082" s="3"/>
    </row>
    <row r="1083" spans="1:4" ht="16.5" customHeight="1">
      <c r="A1083" s="3"/>
      <c r="B1083" s="3"/>
      <c r="C1083" s="3"/>
      <c r="D1083" s="3"/>
    </row>
    <row r="1084" spans="1:4" ht="16.5" customHeight="1">
      <c r="A1084" s="3"/>
      <c r="B1084" s="3"/>
      <c r="C1084" s="3"/>
      <c r="D1084" s="3"/>
    </row>
    <row r="1085" spans="1:4" ht="16.5" customHeight="1">
      <c r="A1085" s="3"/>
      <c r="B1085" s="3"/>
      <c r="C1085" s="3"/>
      <c r="D1085" s="3"/>
    </row>
    <row r="1086" spans="1:4" ht="16.5" customHeight="1">
      <c r="A1086" s="3"/>
      <c r="B1086" s="3"/>
      <c r="C1086" s="3"/>
      <c r="D1086" s="3"/>
    </row>
    <row r="1087" spans="1:4" ht="16.5" customHeight="1">
      <c r="A1087" s="3"/>
      <c r="B1087" s="3"/>
      <c r="C1087" s="3"/>
      <c r="D1087" s="3"/>
    </row>
    <row r="1088" spans="1:4" ht="16.5" customHeight="1">
      <c r="A1088" s="3"/>
      <c r="B1088" s="3"/>
      <c r="C1088" s="3"/>
      <c r="D1088" s="3"/>
    </row>
    <row r="1089" spans="1:4" ht="16.5" customHeight="1">
      <c r="A1089" s="3"/>
      <c r="B1089" s="3"/>
      <c r="C1089" s="3"/>
      <c r="D1089" s="3"/>
    </row>
    <row r="1090" spans="1:4" ht="16.5" customHeight="1">
      <c r="A1090" s="3"/>
      <c r="B1090" s="3"/>
      <c r="C1090" s="3"/>
      <c r="D1090" s="3"/>
    </row>
    <row r="1091" spans="1:4" ht="16.5" customHeight="1">
      <c r="A1091" s="3"/>
      <c r="B1091" s="3"/>
      <c r="C1091" s="3"/>
      <c r="D1091" s="3"/>
    </row>
    <row r="1092" spans="1:4" ht="16.5" customHeight="1">
      <c r="A1092" s="3"/>
      <c r="B1092" s="3"/>
      <c r="C1092" s="3"/>
      <c r="D1092" s="3"/>
    </row>
    <row r="1093" spans="1:4" ht="16.5" customHeight="1">
      <c r="A1093" s="3"/>
      <c r="B1093" s="3"/>
      <c r="C1093" s="3"/>
      <c r="D1093" s="3"/>
    </row>
    <row r="1094" spans="1:4" ht="16.5" customHeight="1">
      <c r="A1094" s="3"/>
      <c r="B1094" s="3"/>
      <c r="C1094" s="3"/>
      <c r="D1094" s="3"/>
    </row>
    <row r="1095" spans="1:4" ht="16.5" customHeight="1">
      <c r="A1095" s="3"/>
      <c r="B1095" s="3"/>
      <c r="C1095" s="3"/>
      <c r="D1095" s="3"/>
    </row>
    <row r="1096" spans="1:4" ht="16.5" customHeight="1">
      <c r="A1096" s="3"/>
      <c r="B1096" s="3"/>
      <c r="C1096" s="3"/>
      <c r="D1096" s="3"/>
    </row>
    <row r="1097" spans="1:4" ht="16.5" customHeight="1">
      <c r="A1097" s="3"/>
      <c r="B1097" s="3"/>
      <c r="C1097" s="3"/>
      <c r="D1097" s="3"/>
    </row>
    <row r="1098" spans="1:4" ht="16.5" customHeight="1">
      <c r="A1098" s="3"/>
      <c r="B1098" s="3"/>
      <c r="C1098" s="3"/>
      <c r="D1098" s="3"/>
    </row>
    <row r="1099" spans="1:4" ht="16.5" customHeight="1">
      <c r="A1099" s="3"/>
      <c r="B1099" s="3"/>
      <c r="C1099" s="3"/>
      <c r="D1099" s="3"/>
    </row>
    <row r="1100" spans="1:4" ht="16.5" customHeight="1">
      <c r="A1100" s="3"/>
      <c r="B1100" s="3"/>
      <c r="C1100" s="3"/>
      <c r="D1100" s="3"/>
    </row>
    <row r="1101" spans="1:4" ht="16.5" customHeight="1">
      <c r="A1101" s="3"/>
      <c r="B1101" s="3"/>
      <c r="C1101" s="3"/>
      <c r="D1101" s="3"/>
    </row>
    <row r="1102" spans="1:4" ht="16.5" customHeight="1">
      <c r="A1102" s="3"/>
      <c r="B1102" s="3"/>
      <c r="C1102" s="3"/>
      <c r="D1102" s="3"/>
    </row>
    <row r="1103" spans="1:4" ht="16.5" customHeight="1">
      <c r="A1103" s="3"/>
      <c r="B1103" s="3"/>
      <c r="C1103" s="3"/>
      <c r="D1103" s="3"/>
    </row>
    <row r="1104" spans="1:4" ht="16.5" customHeight="1">
      <c r="A1104" s="3"/>
      <c r="B1104" s="3"/>
      <c r="C1104" s="3"/>
      <c r="D1104" s="3"/>
    </row>
    <row r="1105" spans="1:4" ht="16.5" customHeight="1">
      <c r="A1105" s="3"/>
      <c r="B1105" s="3"/>
      <c r="C1105" s="3"/>
      <c r="D1105" s="3"/>
    </row>
    <row r="1106" spans="1:4" ht="16.5" customHeight="1">
      <c r="A1106" s="3"/>
      <c r="B1106" s="3"/>
      <c r="C1106" s="3"/>
      <c r="D1106" s="3"/>
    </row>
    <row r="1107" spans="1:4" ht="16.5" customHeight="1">
      <c r="A1107" s="3"/>
      <c r="B1107" s="3"/>
      <c r="C1107" s="3"/>
      <c r="D1107" s="3"/>
    </row>
    <row r="1108" spans="1:4" ht="16.5" customHeight="1">
      <c r="A1108" s="3"/>
      <c r="B1108" s="3"/>
      <c r="C1108" s="3"/>
      <c r="D1108" s="3"/>
    </row>
    <row r="1109" spans="1:4" ht="16.5" customHeight="1">
      <c r="A1109" s="3"/>
      <c r="B1109" s="3"/>
      <c r="C1109" s="3"/>
      <c r="D1109" s="3"/>
    </row>
    <row r="1110" spans="1:4" ht="16.5" customHeight="1">
      <c r="A1110" s="3"/>
      <c r="B1110" s="3"/>
      <c r="C1110" s="3"/>
      <c r="D1110" s="3"/>
    </row>
    <row r="1111" spans="1:4" ht="16.5" customHeight="1">
      <c r="A1111" s="3"/>
      <c r="B1111" s="3"/>
      <c r="C1111" s="3"/>
      <c r="D1111" s="3"/>
    </row>
    <row r="1112" spans="1:4" ht="16.5" customHeight="1">
      <c r="A1112" s="3"/>
      <c r="B1112" s="3"/>
      <c r="C1112" s="3"/>
      <c r="D1112" s="3"/>
    </row>
    <row r="1113" spans="1:4" ht="16.5" customHeight="1">
      <c r="A1113" s="3"/>
      <c r="B1113" s="3"/>
      <c r="C1113" s="3"/>
      <c r="D1113" s="3"/>
    </row>
    <row r="1114" spans="1:4" ht="16.5" customHeight="1">
      <c r="A1114" s="3"/>
      <c r="B1114" s="3"/>
      <c r="C1114" s="3"/>
      <c r="D1114" s="3"/>
    </row>
    <row r="1115" spans="1:4" ht="16.5" customHeight="1">
      <c r="A1115" s="3"/>
      <c r="B1115" s="3"/>
      <c r="C1115" s="3"/>
      <c r="D1115" s="3"/>
    </row>
    <row r="1116" spans="1:4" ht="16.5" customHeight="1">
      <c r="A1116" s="3"/>
      <c r="B1116" s="3"/>
      <c r="C1116" s="3"/>
      <c r="D1116" s="3"/>
    </row>
    <row r="1117" spans="1:4" ht="16.5" customHeight="1">
      <c r="A1117" s="3"/>
      <c r="B1117" s="3"/>
      <c r="C1117" s="3"/>
      <c r="D1117" s="3"/>
    </row>
    <row r="1118" spans="1:4" ht="16.5" customHeight="1">
      <c r="A1118" s="3"/>
      <c r="B1118" s="3"/>
      <c r="C1118" s="3"/>
      <c r="D1118" s="3"/>
    </row>
    <row r="1119" spans="1:4" ht="16.5" customHeight="1">
      <c r="A1119" s="3"/>
      <c r="B1119" s="3"/>
      <c r="C1119" s="3"/>
      <c r="D1119" s="3"/>
    </row>
    <row r="1120" spans="1:4" ht="16.5" customHeight="1">
      <c r="A1120" s="3"/>
      <c r="B1120" s="3"/>
      <c r="C1120" s="3"/>
      <c r="D1120" s="3"/>
    </row>
    <row r="1121" spans="1:4" ht="16.5" customHeight="1">
      <c r="A1121" s="3"/>
      <c r="B1121" s="3"/>
      <c r="C1121" s="3"/>
      <c r="D1121" s="3"/>
    </row>
    <row r="1122" spans="1:4" ht="16.5" customHeight="1">
      <c r="A1122" s="3"/>
      <c r="B1122" s="3"/>
      <c r="C1122" s="3"/>
      <c r="D1122" s="3"/>
    </row>
    <row r="1123" spans="1:4" ht="16.5" customHeight="1">
      <c r="A1123" s="3"/>
      <c r="B1123" s="3"/>
      <c r="C1123" s="3"/>
      <c r="D1123" s="3"/>
    </row>
    <row r="1124" spans="1:4" ht="16.5" customHeight="1">
      <c r="A1124" s="3"/>
      <c r="B1124" s="3"/>
      <c r="C1124" s="3"/>
      <c r="D1124" s="3"/>
    </row>
    <row r="1125" spans="1:4" ht="16.5" customHeight="1">
      <c r="A1125" s="3"/>
      <c r="B1125" s="3"/>
      <c r="C1125" s="3"/>
      <c r="D1125" s="3"/>
    </row>
    <row r="1126" spans="1:4" ht="16.5" customHeight="1">
      <c r="A1126" s="3"/>
      <c r="B1126" s="3"/>
      <c r="C1126" s="3"/>
      <c r="D1126" s="3"/>
    </row>
    <row r="1127" spans="1:4" ht="16.5" customHeight="1">
      <c r="A1127" s="3"/>
      <c r="B1127" s="3"/>
      <c r="C1127" s="3"/>
      <c r="D1127" s="3"/>
    </row>
    <row r="1128" spans="1:4" ht="16.5" customHeight="1">
      <c r="A1128" s="3"/>
      <c r="B1128" s="3"/>
      <c r="C1128" s="3"/>
      <c r="D1128" s="3"/>
    </row>
    <row r="1129" spans="1:4" ht="16.5" customHeight="1">
      <c r="A1129" s="3"/>
      <c r="B1129" s="3"/>
      <c r="C1129" s="3"/>
      <c r="D1129" s="3"/>
    </row>
    <row r="1130" spans="1:4" ht="16.5" customHeight="1">
      <c r="A1130" s="3"/>
      <c r="B1130" s="3"/>
      <c r="C1130" s="3"/>
      <c r="D1130" s="3"/>
    </row>
    <row r="1131" spans="1:4" ht="16.5" customHeight="1">
      <c r="A1131" s="3"/>
      <c r="B1131" s="3"/>
      <c r="C1131" s="3"/>
      <c r="D1131" s="3"/>
    </row>
    <row r="1132" spans="1:4" ht="16.5" customHeight="1">
      <c r="A1132" s="3"/>
      <c r="B1132" s="3"/>
      <c r="C1132" s="3"/>
      <c r="D1132" s="3"/>
    </row>
    <row r="1133" spans="1:4" ht="16.5" customHeight="1">
      <c r="A1133" s="3"/>
      <c r="B1133" s="3"/>
      <c r="C1133" s="3"/>
      <c r="D1133" s="3"/>
    </row>
    <row r="1134" spans="1:4" ht="16.5" customHeight="1">
      <c r="A1134" s="3"/>
      <c r="B1134" s="3"/>
      <c r="C1134" s="3"/>
      <c r="D1134" s="3"/>
    </row>
    <row r="1135" spans="1:4" ht="16.5" customHeight="1">
      <c r="A1135" s="3"/>
      <c r="B1135" s="3"/>
      <c r="C1135" s="3"/>
      <c r="D1135" s="3"/>
    </row>
    <row r="1136" spans="1:4" ht="16.5" customHeight="1">
      <c r="A1136" s="3"/>
      <c r="B1136" s="3"/>
      <c r="C1136" s="3"/>
      <c r="D1136" s="3"/>
    </row>
    <row r="1137" spans="1:4" ht="16.5" customHeight="1">
      <c r="A1137" s="3"/>
      <c r="B1137" s="3"/>
      <c r="C1137" s="3"/>
      <c r="D1137" s="3"/>
    </row>
    <row r="1138" spans="1:4" ht="16.5" customHeight="1">
      <c r="A1138" s="3"/>
      <c r="B1138" s="3"/>
      <c r="C1138" s="3"/>
      <c r="D1138" s="3"/>
    </row>
    <row r="1139" spans="1:4" ht="16.5" customHeight="1">
      <c r="A1139" s="3"/>
      <c r="B1139" s="3"/>
      <c r="C1139" s="3"/>
      <c r="D1139" s="3"/>
    </row>
    <row r="1140" spans="1:4" ht="16.5" customHeight="1">
      <c r="A1140" s="3"/>
      <c r="B1140" s="3"/>
      <c r="C1140" s="3"/>
      <c r="D1140" s="3"/>
    </row>
    <row r="1141" spans="1:4" ht="16.5" customHeight="1">
      <c r="A1141" s="3"/>
      <c r="B1141" s="3"/>
      <c r="C1141" s="3"/>
      <c r="D1141" s="3"/>
    </row>
    <row r="1142" spans="1:4" ht="16.5" customHeight="1">
      <c r="A1142" s="3"/>
      <c r="B1142" s="3"/>
      <c r="C1142" s="3"/>
      <c r="D1142" s="3"/>
    </row>
    <row r="1143" spans="1:4" ht="16.5" customHeight="1">
      <c r="A1143" s="3"/>
      <c r="B1143" s="3"/>
      <c r="C1143" s="3"/>
      <c r="D1143" s="3"/>
    </row>
    <row r="1144" spans="1:4" ht="16.5" customHeight="1">
      <c r="A1144" s="3"/>
      <c r="B1144" s="3"/>
      <c r="C1144" s="3"/>
      <c r="D1144" s="3"/>
    </row>
    <row r="1145" spans="1:4" ht="16.5" customHeight="1">
      <c r="A1145" s="3"/>
      <c r="B1145" s="3"/>
      <c r="C1145" s="3"/>
      <c r="D1145" s="3"/>
    </row>
    <row r="1146" spans="1:4" ht="16.5" customHeight="1">
      <c r="A1146" s="3"/>
      <c r="B1146" s="3"/>
      <c r="C1146" s="3"/>
      <c r="D1146" s="3"/>
    </row>
    <row r="1147" spans="1:4" ht="16.5" customHeight="1">
      <c r="A1147" s="3"/>
      <c r="B1147" s="3"/>
      <c r="C1147" s="3"/>
      <c r="D1147" s="3"/>
    </row>
    <row r="1148" spans="1:4" ht="16.5" customHeight="1">
      <c r="A1148" s="3"/>
      <c r="B1148" s="3"/>
      <c r="C1148" s="3"/>
      <c r="D1148" s="3"/>
    </row>
    <row r="1149" spans="1:4" ht="16.5" customHeight="1">
      <c r="A1149" s="3"/>
      <c r="B1149" s="3"/>
      <c r="C1149" s="3"/>
      <c r="D1149" s="3"/>
    </row>
    <row r="1150" spans="1:4" ht="16.5" customHeight="1">
      <c r="A1150" s="3"/>
      <c r="B1150" s="3"/>
      <c r="C1150" s="3"/>
      <c r="D1150" s="3"/>
    </row>
    <row r="1151" spans="1:4" ht="16.5" customHeight="1">
      <c r="A1151" s="3"/>
      <c r="B1151" s="3"/>
      <c r="C1151" s="3"/>
      <c r="D1151" s="3"/>
    </row>
    <row r="1152" spans="1:4" ht="16.5" customHeight="1">
      <c r="A1152" s="3"/>
      <c r="B1152" s="3"/>
      <c r="C1152" s="3"/>
      <c r="D1152" s="3"/>
    </row>
    <row r="1153" spans="1:4" ht="16.5" customHeight="1">
      <c r="A1153" s="3"/>
      <c r="B1153" s="3"/>
      <c r="C1153" s="3"/>
      <c r="D1153" s="3"/>
    </row>
    <row r="1154" spans="1:4" ht="16.5" customHeight="1">
      <c r="A1154" s="3"/>
      <c r="B1154" s="3"/>
      <c r="C1154" s="3"/>
      <c r="D1154" s="3"/>
    </row>
    <row r="1155" spans="1:4" ht="16.5" customHeight="1">
      <c r="A1155" s="3"/>
      <c r="B1155" s="3"/>
      <c r="C1155" s="3"/>
      <c r="D1155" s="3"/>
    </row>
    <row r="1156" spans="1:4" ht="16.5" customHeight="1">
      <c r="A1156" s="3"/>
      <c r="B1156" s="3"/>
      <c r="C1156" s="3"/>
      <c r="D1156" s="3"/>
    </row>
    <row r="1157" spans="1:4" ht="16.5" customHeight="1">
      <c r="A1157" s="3"/>
      <c r="B1157" s="3"/>
      <c r="C1157" s="3"/>
      <c r="D1157" s="3"/>
    </row>
    <row r="1158" spans="1:4" ht="16.5" customHeight="1">
      <c r="A1158" s="3"/>
      <c r="B1158" s="3"/>
      <c r="C1158" s="3"/>
      <c r="D1158" s="3"/>
    </row>
    <row r="1159" spans="1:4" ht="16.5" customHeight="1">
      <c r="A1159" s="3"/>
      <c r="B1159" s="3"/>
      <c r="C1159" s="3"/>
      <c r="D1159" s="3"/>
    </row>
    <row r="1160" spans="1:4" ht="16.5" customHeight="1">
      <c r="A1160" s="3"/>
      <c r="B1160" s="3"/>
      <c r="C1160" s="3"/>
      <c r="D1160" s="3"/>
    </row>
    <row r="1161" spans="1:4" ht="16.5" customHeight="1">
      <c r="A1161" s="3"/>
      <c r="B1161" s="3"/>
      <c r="C1161" s="3"/>
      <c r="D1161" s="3"/>
    </row>
    <row r="1162" spans="1:4" ht="16.5" customHeight="1">
      <c r="A1162" s="3"/>
      <c r="B1162" s="3"/>
      <c r="C1162" s="3"/>
      <c r="D1162" s="3"/>
    </row>
    <row r="1163" spans="1:4" ht="16.5" customHeight="1">
      <c r="A1163" s="3"/>
      <c r="B1163" s="3"/>
      <c r="C1163" s="3"/>
      <c r="D1163" s="3"/>
    </row>
    <row r="1164" spans="1:4" ht="16.5" customHeight="1">
      <c r="A1164" s="3"/>
      <c r="B1164" s="3"/>
      <c r="C1164" s="3"/>
      <c r="D1164" s="3"/>
    </row>
    <row r="1165" spans="1:4" ht="16.5" customHeight="1">
      <c r="A1165" s="3"/>
      <c r="B1165" s="3"/>
      <c r="C1165" s="3"/>
      <c r="D1165" s="3"/>
    </row>
    <row r="1166" spans="1:4" ht="16.5" customHeight="1">
      <c r="A1166" s="3"/>
      <c r="B1166" s="3"/>
      <c r="C1166" s="3"/>
      <c r="D1166" s="3"/>
    </row>
    <row r="1167" spans="1:4" ht="16.5" customHeight="1">
      <c r="A1167" s="3"/>
      <c r="B1167" s="3"/>
      <c r="C1167" s="3"/>
      <c r="D1167" s="3"/>
    </row>
    <row r="1168" spans="1:4" ht="16.5" customHeight="1">
      <c r="A1168" s="3"/>
      <c r="B1168" s="3"/>
      <c r="C1168" s="3"/>
      <c r="D1168" s="3"/>
    </row>
    <row r="1169" spans="1:4" ht="16.5" customHeight="1">
      <c r="A1169" s="3"/>
      <c r="B1169" s="3"/>
      <c r="C1169" s="3"/>
      <c r="D1169" s="3"/>
    </row>
    <row r="1170" spans="1:4" ht="16.5" customHeight="1">
      <c r="A1170" s="3"/>
      <c r="B1170" s="3"/>
      <c r="C1170" s="3"/>
      <c r="D1170" s="3"/>
    </row>
    <row r="1171" spans="1:4" ht="16.5" customHeight="1">
      <c r="A1171" s="3"/>
      <c r="B1171" s="3"/>
      <c r="C1171" s="3"/>
      <c r="D1171" s="3"/>
    </row>
    <row r="1172" spans="1:4" ht="16.5" customHeight="1">
      <c r="A1172" s="3"/>
      <c r="B1172" s="3"/>
      <c r="C1172" s="3"/>
      <c r="D1172" s="3"/>
    </row>
    <row r="1173" spans="1:4" ht="16.5" customHeight="1">
      <c r="A1173" s="3"/>
      <c r="B1173" s="3"/>
      <c r="C1173" s="3"/>
      <c r="D1173" s="3"/>
    </row>
    <row r="1174" spans="1:4" ht="16.5" customHeight="1">
      <c r="A1174" s="3"/>
      <c r="B1174" s="3"/>
      <c r="C1174" s="3"/>
      <c r="D1174" s="3"/>
    </row>
    <row r="1175" spans="1:4" ht="16.5" customHeight="1">
      <c r="A1175" s="3"/>
      <c r="B1175" s="3"/>
      <c r="C1175" s="3"/>
      <c r="D1175" s="3"/>
    </row>
    <row r="1176" spans="1:4" ht="16.5" customHeight="1">
      <c r="A1176" s="3"/>
      <c r="B1176" s="3"/>
      <c r="C1176" s="3"/>
      <c r="D1176" s="3"/>
    </row>
    <row r="1177" spans="1:4" ht="16.5" customHeight="1">
      <c r="A1177" s="3"/>
      <c r="B1177" s="3"/>
      <c r="C1177" s="3"/>
      <c r="D1177" s="3"/>
    </row>
    <row r="1178" spans="1:4" ht="16.5" customHeight="1">
      <c r="A1178" s="3"/>
      <c r="B1178" s="3"/>
      <c r="C1178" s="3"/>
      <c r="D1178" s="3"/>
    </row>
    <row r="1179" spans="1:4" ht="16.5" customHeight="1">
      <c r="A1179" s="3"/>
      <c r="B1179" s="3"/>
      <c r="C1179" s="3"/>
      <c r="D1179" s="3"/>
    </row>
    <row r="1180" spans="1:4" ht="16.5" customHeight="1">
      <c r="A1180" s="3"/>
      <c r="B1180" s="3"/>
      <c r="C1180" s="3"/>
      <c r="D1180" s="3"/>
    </row>
    <row r="1181" spans="1:4" ht="16.5" customHeight="1">
      <c r="A1181" s="3"/>
      <c r="B1181" s="3"/>
      <c r="C1181" s="3"/>
      <c r="D1181" s="3"/>
    </row>
    <row r="1182" spans="1:4" ht="16.5" customHeight="1">
      <c r="A1182" s="3"/>
      <c r="B1182" s="3"/>
      <c r="C1182" s="3"/>
      <c r="D1182" s="3"/>
    </row>
    <row r="1183" spans="1:4" ht="16.5" customHeight="1">
      <c r="A1183" s="3"/>
      <c r="B1183" s="3"/>
      <c r="C1183" s="3"/>
      <c r="D1183" s="3"/>
    </row>
    <row r="1184" spans="1:4" ht="16.5" customHeight="1">
      <c r="A1184" s="3"/>
      <c r="B1184" s="3"/>
      <c r="C1184" s="3"/>
      <c r="D1184" s="3"/>
    </row>
    <row r="1185" spans="1:4" ht="16.5" customHeight="1">
      <c r="A1185" s="3"/>
      <c r="B1185" s="3"/>
      <c r="C1185" s="3"/>
      <c r="D1185" s="3"/>
    </row>
    <row r="1186" spans="1:4" ht="16.5" customHeight="1">
      <c r="A1186" s="3"/>
      <c r="B1186" s="3"/>
      <c r="C1186" s="3"/>
      <c r="D1186" s="3"/>
    </row>
    <row r="1187" spans="1:4" ht="16.5" customHeight="1">
      <c r="A1187" s="3"/>
      <c r="B1187" s="3"/>
      <c r="C1187" s="3"/>
      <c r="D1187" s="3"/>
    </row>
    <row r="1188" spans="1:4" ht="16.5" customHeight="1">
      <c r="A1188" s="3"/>
      <c r="B1188" s="3"/>
      <c r="C1188" s="3"/>
      <c r="D1188" s="3"/>
    </row>
    <row r="1189" spans="1:4" ht="16.5" customHeight="1">
      <c r="A1189" s="3"/>
      <c r="B1189" s="3"/>
      <c r="C1189" s="3"/>
      <c r="D1189" s="3"/>
    </row>
    <row r="1190" spans="1:4" ht="16.5" customHeight="1">
      <c r="A1190" s="3"/>
      <c r="B1190" s="3"/>
      <c r="C1190" s="3"/>
      <c r="D1190" s="3"/>
    </row>
    <row r="1191" spans="1:4" ht="16.5" customHeight="1">
      <c r="A1191" s="3"/>
      <c r="B1191" s="3"/>
      <c r="C1191" s="3"/>
      <c r="D1191" s="3"/>
    </row>
    <row r="1192" spans="1:4" ht="16.5" customHeight="1">
      <c r="A1192" s="3"/>
      <c r="B1192" s="3"/>
      <c r="C1192" s="3"/>
      <c r="D1192" s="3"/>
    </row>
    <row r="1193" spans="1:4" ht="16.5" customHeight="1">
      <c r="A1193" s="3"/>
      <c r="B1193" s="3"/>
      <c r="C1193" s="3"/>
      <c r="D1193" s="3"/>
    </row>
    <row r="1194" spans="1:4" ht="16.5" customHeight="1">
      <c r="A1194" s="3"/>
      <c r="B1194" s="3"/>
      <c r="C1194" s="3"/>
      <c r="D1194" s="3"/>
    </row>
    <row r="1195" spans="1:4" ht="16.5" customHeight="1">
      <c r="A1195" s="3"/>
      <c r="B1195" s="3"/>
      <c r="C1195" s="3"/>
      <c r="D1195" s="3"/>
    </row>
    <row r="1196" spans="1:4" ht="16.5" customHeight="1">
      <c r="A1196" s="3"/>
      <c r="B1196" s="3"/>
      <c r="C1196" s="3"/>
      <c r="D1196" s="3"/>
    </row>
    <row r="1197" spans="1:4" ht="16.5" customHeight="1">
      <c r="A1197" s="3"/>
      <c r="B1197" s="3"/>
      <c r="C1197" s="3"/>
      <c r="D1197" s="3"/>
    </row>
    <row r="1198" spans="1:4" ht="16.5" customHeight="1">
      <c r="A1198" s="3"/>
      <c r="B1198" s="3"/>
      <c r="C1198" s="3"/>
      <c r="D1198" s="3"/>
    </row>
    <row r="1199" spans="1:4" ht="16.5" customHeight="1">
      <c r="A1199" s="3"/>
      <c r="B1199" s="3"/>
      <c r="C1199" s="3"/>
      <c r="D1199" s="3"/>
    </row>
    <row r="1200" spans="1:4" ht="16.5" customHeight="1">
      <c r="A1200" s="3"/>
      <c r="B1200" s="3"/>
      <c r="C1200" s="3"/>
      <c r="D1200" s="3"/>
    </row>
    <row r="1201" spans="1:4" ht="16.5" customHeight="1">
      <c r="A1201" s="3"/>
      <c r="B1201" s="3"/>
      <c r="C1201" s="3"/>
      <c r="D1201" s="3"/>
    </row>
    <row r="1202" spans="1:4" ht="16.5" customHeight="1">
      <c r="A1202" s="3"/>
      <c r="B1202" s="3"/>
      <c r="C1202" s="3"/>
      <c r="D1202" s="3"/>
    </row>
    <row r="1203" spans="1:4" ht="16.5" customHeight="1">
      <c r="A1203" s="3"/>
      <c r="B1203" s="3"/>
      <c r="C1203" s="3"/>
      <c r="D1203" s="3"/>
    </row>
    <row r="1204" spans="1:4" ht="16.5" customHeight="1">
      <c r="A1204" s="3"/>
      <c r="B1204" s="3"/>
      <c r="C1204" s="3"/>
      <c r="D1204" s="3"/>
    </row>
    <row r="1205" spans="1:4" ht="16.5" customHeight="1">
      <c r="A1205" s="3"/>
      <c r="B1205" s="3"/>
      <c r="C1205" s="3"/>
      <c r="D1205" s="3"/>
    </row>
    <row r="1206" spans="1:4" ht="16.5" customHeight="1">
      <c r="A1206" s="3"/>
      <c r="B1206" s="3"/>
      <c r="C1206" s="3"/>
      <c r="D1206" s="3"/>
    </row>
    <row r="1207" spans="1:4" ht="16.5" customHeight="1">
      <c r="A1207" s="3"/>
      <c r="B1207" s="3"/>
      <c r="C1207" s="3"/>
      <c r="D1207" s="3"/>
    </row>
    <row r="1208" spans="1:4" ht="16.5" customHeight="1">
      <c r="A1208" s="3"/>
      <c r="B1208" s="3"/>
      <c r="C1208" s="3"/>
      <c r="D1208" s="3"/>
    </row>
    <row r="1209" spans="1:4" ht="16.5" customHeight="1">
      <c r="A1209" s="3"/>
      <c r="B1209" s="3"/>
      <c r="C1209" s="3"/>
      <c r="D1209" s="3"/>
    </row>
    <row r="1210" spans="1:4" ht="16.5" customHeight="1">
      <c r="A1210" s="3"/>
      <c r="B1210" s="3"/>
      <c r="C1210" s="3"/>
      <c r="D1210" s="3"/>
    </row>
    <row r="1211" spans="1:4" ht="16.5" customHeight="1">
      <c r="A1211" s="3"/>
      <c r="B1211" s="3"/>
      <c r="C1211" s="3"/>
      <c r="D1211" s="3"/>
    </row>
    <row r="1212" spans="1:4" ht="16.5" customHeight="1">
      <c r="A1212" s="3"/>
      <c r="B1212" s="3"/>
      <c r="C1212" s="3"/>
      <c r="D1212" s="3"/>
    </row>
    <row r="1213" spans="1:4" ht="16.5" customHeight="1">
      <c r="A1213" s="3"/>
      <c r="B1213" s="3"/>
      <c r="C1213" s="3"/>
      <c r="D1213" s="3"/>
    </row>
    <row r="1214" spans="1:4" ht="16.5" customHeight="1">
      <c r="A1214" s="3"/>
      <c r="B1214" s="3"/>
      <c r="C1214" s="3"/>
      <c r="D1214" s="3"/>
    </row>
    <row r="1215" spans="1:4" ht="16.5" customHeight="1">
      <c r="A1215" s="3"/>
      <c r="B1215" s="3"/>
      <c r="C1215" s="3"/>
      <c r="D1215" s="3"/>
    </row>
    <row r="1216" spans="1:4" ht="16.5" customHeight="1">
      <c r="A1216" s="3"/>
      <c r="B1216" s="3"/>
      <c r="C1216" s="3"/>
      <c r="D1216" s="3"/>
    </row>
    <row r="1217" spans="1:4" ht="16.5" customHeight="1">
      <c r="A1217" s="3"/>
      <c r="B1217" s="3"/>
      <c r="C1217" s="3"/>
      <c r="D1217" s="3"/>
    </row>
    <row r="1218" spans="1:4" ht="16.5" customHeight="1">
      <c r="A1218" s="3"/>
      <c r="B1218" s="3"/>
      <c r="C1218" s="3"/>
      <c r="D1218" s="3"/>
    </row>
    <row r="1219" spans="1:4" ht="16.5" customHeight="1">
      <c r="A1219" s="3"/>
      <c r="B1219" s="3"/>
      <c r="C1219" s="3"/>
      <c r="D1219" s="3"/>
    </row>
    <row r="1220" spans="1:4" ht="16.5" customHeight="1">
      <c r="A1220" s="3"/>
      <c r="B1220" s="3"/>
      <c r="C1220" s="3"/>
      <c r="D1220" s="3"/>
    </row>
    <row r="1221" spans="1:4" ht="16.5" customHeight="1">
      <c r="A1221" s="3"/>
      <c r="B1221" s="3"/>
      <c r="C1221" s="3"/>
      <c r="D1221" s="3"/>
    </row>
    <row r="1222" spans="1:4" ht="16.5" customHeight="1">
      <c r="A1222" s="3"/>
      <c r="B1222" s="3"/>
      <c r="C1222" s="3"/>
      <c r="D1222" s="3"/>
    </row>
    <row r="1223" spans="1:4" ht="16.5" customHeight="1">
      <c r="A1223" s="3"/>
      <c r="B1223" s="3"/>
      <c r="C1223" s="3"/>
      <c r="D1223" s="3"/>
    </row>
    <row r="1224" spans="1:4" ht="16.5" customHeight="1">
      <c r="A1224" s="3"/>
      <c r="B1224" s="3"/>
      <c r="C1224" s="3"/>
      <c r="D1224" s="3"/>
    </row>
    <row r="1225" spans="1:4" ht="16.5" customHeight="1">
      <c r="A1225" s="3"/>
      <c r="B1225" s="3"/>
      <c r="C1225" s="3"/>
      <c r="D1225" s="3"/>
    </row>
    <row r="1226" spans="1:4" ht="16.5" customHeight="1">
      <c r="A1226" s="3"/>
      <c r="B1226" s="3"/>
      <c r="C1226" s="3"/>
      <c r="D1226" s="3"/>
    </row>
    <row r="1227" spans="1:4" ht="16.5" customHeight="1">
      <c r="A1227" s="3"/>
      <c r="B1227" s="3"/>
      <c r="C1227" s="3"/>
      <c r="D1227" s="3"/>
    </row>
    <row r="1228" spans="1:4" ht="16.5" customHeight="1">
      <c r="A1228" s="3"/>
      <c r="B1228" s="3"/>
      <c r="C1228" s="3"/>
      <c r="D1228" s="3"/>
    </row>
    <row r="1229" spans="1:4" ht="16.5" customHeight="1">
      <c r="A1229" s="3"/>
      <c r="B1229" s="3"/>
      <c r="C1229" s="3"/>
      <c r="D1229" s="3"/>
    </row>
    <row r="1230" spans="1:4" ht="16.5" customHeight="1">
      <c r="A1230" s="3"/>
      <c r="B1230" s="3"/>
      <c r="C1230" s="3"/>
      <c r="D1230" s="3"/>
    </row>
    <row r="1231" spans="1:4" ht="16.5" customHeight="1">
      <c r="A1231" s="3"/>
      <c r="B1231" s="3"/>
      <c r="C1231" s="3"/>
      <c r="D1231" s="3"/>
    </row>
    <row r="1232" spans="1:4" ht="16.5" customHeight="1">
      <c r="A1232" s="3"/>
      <c r="B1232" s="3"/>
      <c r="C1232" s="3"/>
      <c r="D1232" s="3"/>
    </row>
    <row r="1233" spans="1:4" ht="16.5" customHeight="1">
      <c r="A1233" s="3"/>
      <c r="B1233" s="3"/>
      <c r="C1233" s="3"/>
      <c r="D1233" s="3"/>
    </row>
    <row r="1234" spans="1:4" ht="16.5" customHeight="1">
      <c r="A1234" s="3"/>
      <c r="B1234" s="3"/>
      <c r="C1234" s="3"/>
      <c r="D1234" s="3"/>
    </row>
    <row r="1235" spans="1:4" ht="16.5" customHeight="1">
      <c r="A1235" s="3"/>
      <c r="B1235" s="3"/>
      <c r="C1235" s="3"/>
      <c r="D1235" s="3"/>
    </row>
    <row r="1236" spans="1:4" ht="16.5" customHeight="1">
      <c r="A1236" s="3"/>
      <c r="B1236" s="3"/>
      <c r="C1236" s="3"/>
      <c r="D1236" s="3"/>
    </row>
    <row r="1237" spans="1:4" ht="16.5" customHeight="1">
      <c r="A1237" s="3"/>
      <c r="B1237" s="3"/>
      <c r="C1237" s="3"/>
      <c r="D1237" s="3"/>
    </row>
    <row r="1238" spans="1:4" ht="16.5" customHeight="1">
      <c r="A1238" s="3"/>
      <c r="B1238" s="3"/>
      <c r="C1238" s="3"/>
      <c r="D1238" s="3"/>
    </row>
    <row r="1239" spans="1:4" ht="16.5" customHeight="1">
      <c r="A1239" s="3"/>
      <c r="B1239" s="3"/>
      <c r="C1239" s="3"/>
      <c r="D1239" s="3"/>
    </row>
    <row r="1240" spans="1:4" ht="16.5" customHeight="1">
      <c r="A1240" s="3"/>
      <c r="B1240" s="3"/>
      <c r="C1240" s="3"/>
      <c r="D1240" s="3"/>
    </row>
    <row r="1241" spans="1:4" ht="16.5" customHeight="1">
      <c r="A1241" s="3"/>
      <c r="B1241" s="3"/>
      <c r="C1241" s="3"/>
      <c r="D1241" s="3"/>
    </row>
    <row r="1242" spans="1:4" ht="16.5" customHeight="1">
      <c r="A1242" s="3"/>
      <c r="B1242" s="3"/>
      <c r="C1242" s="3"/>
      <c r="D1242" s="3"/>
    </row>
    <row r="1243" spans="1:4" ht="16.5" customHeight="1">
      <c r="A1243" s="3"/>
      <c r="B1243" s="3"/>
      <c r="C1243" s="3"/>
      <c r="D1243" s="3"/>
    </row>
    <row r="1244" spans="1:4" ht="16.5" customHeight="1">
      <c r="A1244" s="3"/>
      <c r="B1244" s="3"/>
      <c r="C1244" s="3"/>
      <c r="D1244" s="3"/>
    </row>
    <row r="1245" spans="1:4" ht="16.5" customHeight="1">
      <c r="A1245" s="3"/>
      <c r="B1245" s="3"/>
      <c r="C1245" s="3"/>
      <c r="D1245" s="3"/>
    </row>
    <row r="1246" spans="1:4" ht="16.5" customHeight="1">
      <c r="A1246" s="3"/>
      <c r="B1246" s="3"/>
      <c r="C1246" s="3"/>
      <c r="D1246" s="3"/>
    </row>
    <row r="1247" spans="1:4" ht="16.5" customHeight="1">
      <c r="A1247" s="3"/>
      <c r="B1247" s="3"/>
      <c r="C1247" s="3"/>
      <c r="D1247" s="3"/>
    </row>
    <row r="1248" spans="1:4" ht="16.5" customHeight="1">
      <c r="A1248" s="3"/>
      <c r="B1248" s="3"/>
      <c r="C1248" s="3"/>
      <c r="D1248" s="3"/>
    </row>
    <row r="1249" spans="1:4" ht="16.5" customHeight="1">
      <c r="A1249" s="3"/>
      <c r="B1249" s="3"/>
      <c r="C1249" s="3"/>
      <c r="D1249" s="3"/>
    </row>
    <row r="1250" spans="1:4" ht="16.5" customHeight="1">
      <c r="A1250" s="3"/>
      <c r="B1250" s="3"/>
      <c r="C1250" s="3"/>
      <c r="D1250" s="3"/>
    </row>
    <row r="1251" spans="1:4" ht="16.5" customHeight="1">
      <c r="A1251" s="3"/>
      <c r="B1251" s="3"/>
      <c r="C1251" s="3"/>
      <c r="D1251" s="3"/>
    </row>
    <row r="1252" spans="1:4" ht="16.5" customHeight="1">
      <c r="A1252" s="3"/>
      <c r="B1252" s="3"/>
      <c r="C1252" s="3"/>
      <c r="D1252" s="3"/>
    </row>
    <row r="1253" spans="1:4" ht="16.5" customHeight="1">
      <c r="A1253" s="3"/>
      <c r="B1253" s="3"/>
      <c r="C1253" s="3"/>
      <c r="D1253" s="3"/>
    </row>
    <row r="1254" spans="1:4" ht="16.5" customHeight="1">
      <c r="A1254" s="3"/>
      <c r="B1254" s="3"/>
      <c r="C1254" s="3"/>
      <c r="D1254" s="3"/>
    </row>
    <row r="1255" spans="1:4" ht="16.5" customHeight="1">
      <c r="A1255" s="3"/>
      <c r="B1255" s="3"/>
      <c r="C1255" s="3"/>
      <c r="D1255" s="3"/>
    </row>
    <row r="1256" spans="1:4" ht="16.5" customHeight="1">
      <c r="A1256" s="3"/>
      <c r="B1256" s="3"/>
      <c r="C1256" s="3"/>
      <c r="D1256" s="3"/>
    </row>
    <row r="1257" spans="1:4" ht="16.5" customHeight="1">
      <c r="A1257" s="3"/>
      <c r="B1257" s="3"/>
      <c r="C1257" s="3"/>
      <c r="D1257" s="3"/>
    </row>
    <row r="1258" spans="1:4" ht="16.5" customHeight="1">
      <c r="A1258" s="3"/>
      <c r="B1258" s="3"/>
      <c r="C1258" s="3"/>
      <c r="D1258" s="3"/>
    </row>
    <row r="1259" spans="1:4" ht="16.5" customHeight="1">
      <c r="A1259" s="3"/>
      <c r="B1259" s="3"/>
      <c r="C1259" s="3"/>
      <c r="D1259" s="3"/>
    </row>
    <row r="1260" spans="1:4" ht="16.5" customHeight="1">
      <c r="A1260" s="3"/>
      <c r="B1260" s="3"/>
      <c r="C1260" s="3"/>
      <c r="D1260" s="3"/>
    </row>
    <row r="1261" spans="1:4" ht="16.5" customHeight="1">
      <c r="A1261" s="3"/>
      <c r="B1261" s="3"/>
      <c r="C1261" s="3"/>
      <c r="D1261" s="3"/>
    </row>
    <row r="1262" spans="1:4" ht="16.5" customHeight="1">
      <c r="A1262" s="3"/>
      <c r="B1262" s="3"/>
      <c r="C1262" s="3"/>
      <c r="D1262" s="3"/>
    </row>
    <row r="1263" spans="1:4" ht="16.5" customHeight="1">
      <c r="A1263" s="3"/>
      <c r="B1263" s="3"/>
      <c r="C1263" s="3"/>
      <c r="D1263" s="3"/>
    </row>
    <row r="1264" spans="1:4" ht="16.5" customHeight="1">
      <c r="A1264" s="3"/>
      <c r="B1264" s="3"/>
      <c r="C1264" s="3"/>
      <c r="D1264" s="3"/>
    </row>
    <row r="1265" spans="1:4" ht="16.5" customHeight="1">
      <c r="A1265" s="3"/>
      <c r="B1265" s="3"/>
      <c r="C1265" s="3"/>
      <c r="D1265" s="3"/>
    </row>
    <row r="1266" spans="1:4" ht="16.5" customHeight="1">
      <c r="A1266" s="3"/>
      <c r="B1266" s="3"/>
      <c r="C1266" s="3"/>
      <c r="D1266" s="3"/>
    </row>
    <row r="1267" spans="1:4" ht="16.5" customHeight="1">
      <c r="A1267" s="3"/>
      <c r="B1267" s="3"/>
      <c r="C1267" s="3"/>
      <c r="D1267" s="3"/>
    </row>
    <row r="1268" spans="1:4" ht="16.5" customHeight="1">
      <c r="A1268" s="3"/>
      <c r="B1268" s="3"/>
      <c r="C1268" s="3"/>
      <c r="D1268" s="3"/>
    </row>
    <row r="1269" spans="1:4" ht="16.5" customHeight="1">
      <c r="A1269" s="3"/>
      <c r="B1269" s="3"/>
      <c r="C1269" s="3"/>
      <c r="D1269" s="3"/>
    </row>
    <row r="1270" spans="1:4" ht="16.5" customHeight="1">
      <c r="A1270" s="3"/>
      <c r="B1270" s="3"/>
      <c r="C1270" s="3"/>
      <c r="D1270" s="3"/>
    </row>
    <row r="1271" spans="1:4" ht="16.5" customHeight="1">
      <c r="A1271" s="3"/>
      <c r="B1271" s="3"/>
      <c r="C1271" s="3"/>
      <c r="D1271" s="3"/>
    </row>
    <row r="1272" spans="1:4" ht="16.5" customHeight="1">
      <c r="A1272" s="3"/>
      <c r="B1272" s="3"/>
      <c r="C1272" s="3"/>
      <c r="D1272" s="3"/>
    </row>
    <row r="1273" spans="1:4" ht="16.5" customHeight="1">
      <c r="A1273" s="3"/>
      <c r="B1273" s="3"/>
      <c r="C1273" s="3"/>
      <c r="D1273" s="3"/>
    </row>
    <row r="1274" spans="1:4" ht="16.5" customHeight="1">
      <c r="A1274" s="3"/>
      <c r="B1274" s="3"/>
      <c r="C1274" s="3"/>
      <c r="D1274" s="3"/>
    </row>
    <row r="1275" spans="1:4" ht="16.5" customHeight="1">
      <c r="A1275" s="3"/>
      <c r="B1275" s="3"/>
      <c r="C1275" s="3"/>
      <c r="D1275" s="3"/>
    </row>
    <row r="1276" spans="1:4" ht="16.5" customHeight="1">
      <c r="A1276" s="3"/>
      <c r="B1276" s="3"/>
      <c r="C1276" s="3"/>
      <c r="D1276" s="3"/>
    </row>
    <row r="1277" spans="1:4" ht="16.5" customHeight="1">
      <c r="A1277" s="3"/>
      <c r="B1277" s="3"/>
      <c r="C1277" s="3"/>
      <c r="D1277" s="3"/>
    </row>
    <row r="1278" spans="1:4" ht="16.5" customHeight="1">
      <c r="A1278" s="3"/>
      <c r="B1278" s="3"/>
      <c r="C1278" s="3"/>
      <c r="D1278" s="3"/>
    </row>
    <row r="1279" spans="1:4" ht="16.5" customHeight="1">
      <c r="A1279" s="3"/>
      <c r="B1279" s="3"/>
      <c r="C1279" s="3"/>
      <c r="D1279" s="3"/>
    </row>
    <row r="1280" spans="1:4" ht="16.5" customHeight="1">
      <c r="A1280" s="3"/>
      <c r="B1280" s="3"/>
      <c r="C1280" s="3"/>
      <c r="D1280" s="3"/>
    </row>
    <row r="1281" spans="1:4" ht="16.5" customHeight="1">
      <c r="A1281" s="3"/>
      <c r="B1281" s="3"/>
      <c r="C1281" s="3"/>
      <c r="D1281" s="3"/>
    </row>
    <row r="1282" spans="1:4" ht="16.5" customHeight="1">
      <c r="A1282" s="3"/>
      <c r="B1282" s="3"/>
      <c r="C1282" s="3"/>
      <c r="D1282" s="3"/>
    </row>
    <row r="1283" spans="1:4" ht="16.5" customHeight="1">
      <c r="A1283" s="3"/>
      <c r="B1283" s="3"/>
      <c r="C1283" s="3"/>
      <c r="D1283" s="3"/>
    </row>
    <row r="1284" spans="1:4" ht="16.5" customHeight="1">
      <c r="A1284" s="3"/>
      <c r="B1284" s="3"/>
      <c r="C1284" s="3"/>
      <c r="D1284" s="3"/>
    </row>
    <row r="1285" spans="1:4" ht="16.5" customHeight="1">
      <c r="A1285" s="3"/>
      <c r="B1285" s="3"/>
      <c r="C1285" s="3"/>
      <c r="D1285" s="3"/>
    </row>
    <row r="1286" spans="1:4" ht="16.5" customHeight="1">
      <c r="A1286" s="3"/>
      <c r="B1286" s="3"/>
      <c r="C1286" s="3"/>
      <c r="D1286" s="3"/>
    </row>
    <row r="1287" spans="1:4" ht="16.5" customHeight="1">
      <c r="A1287" s="3"/>
      <c r="B1287" s="3"/>
      <c r="C1287" s="3"/>
      <c r="D1287" s="3"/>
    </row>
    <row r="1288" spans="1:4" ht="16.5" customHeight="1">
      <c r="A1288" s="3"/>
      <c r="B1288" s="3"/>
      <c r="C1288" s="3"/>
      <c r="D1288" s="3"/>
    </row>
    <row r="1289" spans="1:4" ht="16.5" customHeight="1">
      <c r="A1289" s="3"/>
      <c r="B1289" s="3"/>
      <c r="C1289" s="3"/>
      <c r="D1289" s="3"/>
    </row>
    <row r="1290" spans="1:4" ht="16.5" customHeight="1">
      <c r="A1290" s="3"/>
      <c r="B1290" s="3"/>
      <c r="C1290" s="3"/>
      <c r="D1290" s="3"/>
    </row>
    <row r="1291" spans="1:4" ht="16.5" customHeight="1">
      <c r="A1291" s="3"/>
      <c r="B1291" s="3"/>
      <c r="C1291" s="3"/>
      <c r="D1291" s="3"/>
    </row>
    <row r="1292" spans="1:4" ht="16.5" customHeight="1">
      <c r="A1292" s="3"/>
      <c r="B1292" s="3"/>
      <c r="C1292" s="3"/>
      <c r="D1292" s="3"/>
    </row>
    <row r="1293" spans="1:4" ht="16.5" customHeight="1">
      <c r="A1293" s="3"/>
      <c r="B1293" s="3"/>
      <c r="C1293" s="3"/>
      <c r="D1293" s="3"/>
    </row>
    <row r="1294" spans="1:4" ht="16.5" customHeight="1">
      <c r="A1294" s="3"/>
      <c r="B1294" s="3"/>
      <c r="C1294" s="3"/>
      <c r="D1294" s="3"/>
    </row>
    <row r="1295" spans="1:4" ht="16.5" customHeight="1">
      <c r="A1295" s="3"/>
      <c r="B1295" s="3"/>
      <c r="C1295" s="3"/>
      <c r="D1295" s="3"/>
    </row>
    <row r="1296" spans="1:4" ht="16.5" customHeight="1">
      <c r="A1296" s="3"/>
      <c r="B1296" s="3"/>
      <c r="C1296" s="3"/>
      <c r="D1296" s="3"/>
    </row>
    <row r="1297" spans="1:4" ht="16.5" customHeight="1">
      <c r="A1297" s="3"/>
      <c r="B1297" s="3"/>
      <c r="C1297" s="3"/>
      <c r="D1297" s="3"/>
    </row>
    <row r="1298" spans="1:4" ht="16.5" customHeight="1">
      <c r="A1298" s="3"/>
      <c r="B1298" s="3"/>
      <c r="C1298" s="3"/>
      <c r="D1298" s="3"/>
    </row>
    <row r="1299" spans="1:4" ht="16.5" customHeight="1">
      <c r="A1299" s="3"/>
      <c r="B1299" s="3"/>
      <c r="C1299" s="3"/>
      <c r="D1299" s="3"/>
    </row>
    <row r="1300" spans="1:4" ht="16.5" customHeight="1">
      <c r="A1300" s="3"/>
      <c r="B1300" s="3"/>
      <c r="C1300" s="3"/>
      <c r="D1300" s="3"/>
    </row>
    <row r="1301" spans="1:4" ht="16.5" customHeight="1">
      <c r="A1301" s="3"/>
      <c r="B1301" s="3"/>
      <c r="C1301" s="3"/>
      <c r="D1301" s="3"/>
    </row>
    <row r="1302" spans="1:4" ht="16.5" customHeight="1">
      <c r="A1302" s="3"/>
      <c r="B1302" s="3"/>
      <c r="C1302" s="3"/>
      <c r="D1302" s="3"/>
    </row>
    <row r="1303" spans="1:4" ht="16.5" customHeight="1">
      <c r="A1303" s="3"/>
      <c r="B1303" s="3"/>
      <c r="C1303" s="3"/>
      <c r="D1303" s="3"/>
    </row>
    <row r="1304" spans="1:4" ht="16.5" customHeight="1">
      <c r="A1304" s="3"/>
      <c r="B1304" s="3"/>
      <c r="C1304" s="3"/>
      <c r="D1304" s="3"/>
    </row>
    <row r="1305" spans="1:4" ht="16.5" customHeight="1">
      <c r="A1305" s="3"/>
      <c r="B1305" s="3"/>
      <c r="C1305" s="3"/>
      <c r="D1305" s="3"/>
    </row>
    <row r="1306" spans="1:4" ht="16.5" customHeight="1">
      <c r="A1306" s="3"/>
      <c r="B1306" s="3"/>
      <c r="C1306" s="3"/>
      <c r="D1306" s="3"/>
    </row>
    <row r="1307" spans="1:4" ht="16.5" customHeight="1">
      <c r="A1307" s="3"/>
      <c r="B1307" s="3"/>
      <c r="C1307" s="3"/>
      <c r="D1307" s="3"/>
    </row>
    <row r="1308" spans="1:4" ht="16.5" customHeight="1">
      <c r="A1308" s="3"/>
      <c r="B1308" s="3"/>
      <c r="C1308" s="3"/>
      <c r="D1308" s="3"/>
    </row>
    <row r="1309" spans="1:4" ht="16.5" customHeight="1">
      <c r="A1309" s="3"/>
      <c r="B1309" s="3"/>
      <c r="C1309" s="3"/>
      <c r="D1309" s="3"/>
    </row>
    <row r="1310" spans="1:4" ht="16.5" customHeight="1">
      <c r="A1310" s="3"/>
      <c r="B1310" s="3"/>
      <c r="C1310" s="3"/>
      <c r="D1310" s="3"/>
    </row>
    <row r="1311" spans="1:4" ht="16.5" customHeight="1">
      <c r="A1311" s="3"/>
      <c r="B1311" s="3"/>
      <c r="C1311" s="3"/>
      <c r="D1311" s="3"/>
    </row>
    <row r="1312" spans="1:4" ht="16.5" customHeight="1">
      <c r="A1312" s="3"/>
      <c r="B1312" s="3"/>
      <c r="C1312" s="3"/>
      <c r="D1312" s="3"/>
    </row>
    <row r="1313" spans="1:4" ht="16.5" customHeight="1">
      <c r="A1313" s="3"/>
      <c r="B1313" s="3"/>
      <c r="C1313" s="3"/>
      <c r="D1313" s="3"/>
    </row>
    <row r="1314" spans="1:4" ht="16.5" customHeight="1">
      <c r="A1314" s="3"/>
      <c r="B1314" s="3"/>
      <c r="C1314" s="3"/>
      <c r="D1314" s="3"/>
    </row>
    <row r="1315" spans="1:4" ht="16.5" customHeight="1">
      <c r="A1315" s="3"/>
      <c r="B1315" s="3"/>
      <c r="C1315" s="3"/>
      <c r="D1315" s="3"/>
    </row>
    <row r="1316" spans="1:4" ht="16.5" customHeight="1">
      <c r="A1316" s="3"/>
      <c r="B1316" s="3"/>
      <c r="C1316" s="3"/>
      <c r="D1316" s="3"/>
    </row>
    <row r="1317" spans="1:4" ht="16.5" customHeight="1">
      <c r="A1317" s="3"/>
      <c r="B1317" s="3"/>
      <c r="C1317" s="3"/>
      <c r="D1317" s="3"/>
    </row>
    <row r="1318" spans="1:4" ht="16.5" customHeight="1">
      <c r="A1318" s="3"/>
      <c r="B1318" s="3"/>
      <c r="C1318" s="3"/>
      <c r="D1318" s="3"/>
    </row>
    <row r="1319" spans="1:4" ht="16.5" customHeight="1">
      <c r="A1319" s="3"/>
      <c r="B1319" s="3"/>
      <c r="C1319" s="3"/>
      <c r="D1319" s="3"/>
    </row>
    <row r="1320" spans="1:4" ht="16.5" customHeight="1">
      <c r="A1320" s="3"/>
      <c r="B1320" s="3"/>
      <c r="C1320" s="3"/>
      <c r="D1320" s="3"/>
    </row>
    <row r="1321" spans="1:4" ht="16.5" customHeight="1">
      <c r="A1321" s="3"/>
      <c r="B1321" s="3"/>
      <c r="C1321" s="3"/>
      <c r="D1321" s="3"/>
    </row>
    <row r="1322" spans="1:4" ht="16.5" customHeight="1">
      <c r="A1322" s="3"/>
      <c r="B1322" s="3"/>
      <c r="C1322" s="3"/>
      <c r="D1322" s="3"/>
    </row>
    <row r="1323" spans="1:4" ht="16.5" customHeight="1">
      <c r="A1323" s="3"/>
      <c r="B1323" s="3"/>
      <c r="C1323" s="3"/>
      <c r="D1323" s="3"/>
    </row>
    <row r="1324" spans="1:4" ht="16.5" customHeight="1">
      <c r="A1324" s="3"/>
      <c r="B1324" s="3"/>
      <c r="C1324" s="3"/>
      <c r="D1324" s="3"/>
    </row>
    <row r="1325" spans="1:4" ht="16.5" customHeight="1">
      <c r="A1325" s="3"/>
      <c r="B1325" s="3"/>
      <c r="C1325" s="3"/>
      <c r="D1325" s="3"/>
    </row>
    <row r="1326" spans="1:4" ht="16.5" customHeight="1">
      <c r="A1326" s="3"/>
      <c r="B1326" s="3"/>
      <c r="C1326" s="3"/>
      <c r="D1326" s="3"/>
    </row>
    <row r="1327" spans="1:4" ht="16.5" customHeight="1">
      <c r="A1327" s="3"/>
      <c r="B1327" s="3"/>
      <c r="C1327" s="3"/>
      <c r="D1327" s="3"/>
    </row>
    <row r="1328" spans="1:4" ht="16.5" customHeight="1">
      <c r="A1328" s="3"/>
      <c r="B1328" s="3"/>
      <c r="C1328" s="3"/>
      <c r="D1328" s="3"/>
    </row>
    <row r="1329" spans="1:4" ht="16.5" customHeight="1">
      <c r="A1329" s="3"/>
      <c r="B1329" s="3"/>
      <c r="C1329" s="3"/>
      <c r="D1329" s="3"/>
    </row>
    <row r="1330" spans="1:4" ht="16.5" customHeight="1">
      <c r="A1330" s="3"/>
      <c r="B1330" s="3"/>
      <c r="C1330" s="3"/>
      <c r="D1330" s="3"/>
    </row>
    <row r="1331" spans="1:4" ht="16.5" customHeight="1">
      <c r="A1331" s="3"/>
      <c r="B1331" s="3"/>
      <c r="C1331" s="3"/>
      <c r="D1331" s="3"/>
    </row>
    <row r="1332" spans="1:4" ht="16.5" customHeight="1">
      <c r="A1332" s="3"/>
      <c r="B1332" s="3"/>
      <c r="C1332" s="3"/>
      <c r="D1332" s="3"/>
    </row>
    <row r="1333" spans="1:4" ht="16.5" customHeight="1">
      <c r="A1333" s="3"/>
      <c r="B1333" s="3"/>
      <c r="C1333" s="3"/>
      <c r="D1333" s="3"/>
    </row>
    <row r="1334" spans="1:4" ht="16.5" customHeight="1">
      <c r="A1334" s="3"/>
      <c r="B1334" s="3"/>
      <c r="C1334" s="3"/>
      <c r="D1334" s="3"/>
    </row>
    <row r="1335" spans="1:4" ht="16.5" customHeight="1">
      <c r="A1335" s="3"/>
      <c r="B1335" s="3"/>
      <c r="C1335" s="3"/>
      <c r="D1335" s="3"/>
    </row>
    <row r="1336" spans="1:4" ht="16.5" customHeight="1">
      <c r="A1336" s="3"/>
      <c r="B1336" s="3"/>
      <c r="C1336" s="3"/>
      <c r="D1336" s="3"/>
    </row>
    <row r="1337" spans="1:4" ht="16.5" customHeight="1">
      <c r="A1337" s="3"/>
      <c r="B1337" s="3"/>
      <c r="C1337" s="3"/>
      <c r="D1337" s="3"/>
    </row>
    <row r="1338" spans="1:4" ht="16.5" customHeight="1">
      <c r="A1338" s="3"/>
      <c r="B1338" s="3"/>
      <c r="C1338" s="3"/>
      <c r="D1338" s="3"/>
    </row>
    <row r="1339" spans="1:4" ht="16.5" customHeight="1">
      <c r="A1339" s="3"/>
      <c r="B1339" s="3"/>
      <c r="C1339" s="3"/>
      <c r="D1339" s="3"/>
    </row>
    <row r="1340" spans="1:4" ht="16.5" customHeight="1">
      <c r="A1340" s="3"/>
      <c r="B1340" s="3"/>
      <c r="C1340" s="3"/>
      <c r="D1340" s="3"/>
    </row>
    <row r="1341" spans="1:4" ht="16.5" customHeight="1">
      <c r="A1341" s="3"/>
      <c r="B1341" s="3"/>
      <c r="C1341" s="3"/>
      <c r="D1341" s="3"/>
    </row>
    <row r="1342" spans="1:4" ht="16.5" customHeight="1">
      <c r="A1342" s="3"/>
      <c r="B1342" s="3"/>
      <c r="C1342" s="3"/>
      <c r="D1342" s="3"/>
    </row>
    <row r="1343" spans="1:4" ht="16.5" customHeight="1">
      <c r="A1343" s="3"/>
      <c r="B1343" s="3"/>
      <c r="C1343" s="3"/>
      <c r="D1343" s="3"/>
    </row>
    <row r="1344" spans="1:4" ht="16.5" customHeight="1">
      <c r="A1344" s="3"/>
      <c r="B1344" s="3"/>
      <c r="C1344" s="3"/>
      <c r="D1344" s="3"/>
    </row>
    <row r="1345" spans="1:4" ht="16.5" customHeight="1">
      <c r="A1345" s="3"/>
      <c r="B1345" s="3"/>
      <c r="C1345" s="3"/>
      <c r="D1345" s="3"/>
    </row>
    <row r="1346" spans="1:4" ht="16.5" customHeight="1">
      <c r="A1346" s="3"/>
      <c r="B1346" s="3"/>
      <c r="C1346" s="3"/>
      <c r="D1346" s="3"/>
    </row>
    <row r="1347" spans="1:4" ht="16.5" customHeight="1">
      <c r="A1347" s="3"/>
      <c r="B1347" s="3"/>
      <c r="C1347" s="3"/>
      <c r="D1347" s="3"/>
    </row>
    <row r="1348" spans="1:4" ht="16.5" customHeight="1">
      <c r="A1348" s="3"/>
      <c r="B1348" s="3"/>
      <c r="C1348" s="3"/>
      <c r="D1348" s="3"/>
    </row>
    <row r="1349" spans="1:4" ht="16.5" customHeight="1">
      <c r="A1349" s="3"/>
      <c r="B1349" s="3"/>
      <c r="C1349" s="3"/>
      <c r="D1349" s="3"/>
    </row>
    <row r="1350" spans="1:4" ht="16.5" customHeight="1">
      <c r="A1350" s="3"/>
      <c r="B1350" s="3"/>
      <c r="C1350" s="3"/>
      <c r="D1350" s="3"/>
    </row>
    <row r="1351" spans="1:4" ht="16.5" customHeight="1">
      <c r="A1351" s="3"/>
      <c r="B1351" s="3"/>
      <c r="C1351" s="3"/>
      <c r="D1351" s="3"/>
    </row>
    <row r="1352" spans="1:4" ht="16.5" customHeight="1">
      <c r="A1352" s="3"/>
      <c r="B1352" s="3"/>
      <c r="C1352" s="3"/>
      <c r="D1352" s="3"/>
    </row>
    <row r="1353" spans="1:4" ht="16.5" customHeight="1">
      <c r="A1353" s="3"/>
      <c r="B1353" s="3"/>
      <c r="C1353" s="3"/>
      <c r="D1353" s="3"/>
    </row>
    <row r="1354" spans="1:4" ht="16.5" customHeight="1">
      <c r="A1354" s="3"/>
      <c r="B1354" s="3"/>
      <c r="C1354" s="3"/>
      <c r="D1354" s="3"/>
    </row>
    <row r="1355" spans="1:4" ht="16.5" customHeight="1">
      <c r="A1355" s="3"/>
      <c r="B1355" s="3"/>
      <c r="C1355" s="3"/>
      <c r="D1355" s="3"/>
    </row>
    <row r="1356" spans="1:4" ht="16.5" customHeight="1">
      <c r="A1356" s="3"/>
      <c r="B1356" s="3"/>
      <c r="C1356" s="3"/>
      <c r="D1356" s="3"/>
    </row>
    <row r="1357" spans="1:4" ht="16.5" customHeight="1">
      <c r="A1357" s="3"/>
      <c r="B1357" s="3"/>
      <c r="C1357" s="3"/>
      <c r="D1357" s="3"/>
    </row>
    <row r="1358" spans="1:4" ht="16.5" customHeight="1">
      <c r="A1358" s="3"/>
      <c r="B1358" s="3"/>
      <c r="C1358" s="3"/>
      <c r="D1358" s="3"/>
    </row>
    <row r="1359" spans="1:4" ht="16.5" customHeight="1">
      <c r="A1359" s="3"/>
      <c r="B1359" s="3"/>
      <c r="C1359" s="3"/>
      <c r="D1359" s="3"/>
    </row>
    <row r="1360" spans="1:4" ht="16.5" customHeight="1">
      <c r="A1360" s="3"/>
      <c r="B1360" s="3"/>
      <c r="C1360" s="3"/>
      <c r="D1360" s="3"/>
    </row>
    <row r="1361" spans="1:4" ht="16.5" customHeight="1">
      <c r="A1361" s="3"/>
      <c r="B1361" s="3"/>
      <c r="C1361" s="3"/>
      <c r="D1361" s="3"/>
    </row>
    <row r="1362" spans="1:4" ht="16.5" customHeight="1">
      <c r="A1362" s="3"/>
      <c r="B1362" s="3"/>
      <c r="C1362" s="3"/>
      <c r="D1362" s="3"/>
    </row>
    <row r="1363" spans="1:4" ht="16.5" customHeight="1">
      <c r="A1363" s="3"/>
      <c r="B1363" s="3"/>
      <c r="C1363" s="3"/>
      <c r="D1363" s="3"/>
    </row>
    <row r="1364" spans="1:4" ht="16.5" customHeight="1">
      <c r="A1364" s="3"/>
      <c r="B1364" s="3"/>
      <c r="C1364" s="3"/>
      <c r="D1364" s="3"/>
    </row>
    <row r="1365" spans="1:4" ht="16.5" customHeight="1">
      <c r="A1365" s="3"/>
      <c r="B1365" s="3"/>
      <c r="C1365" s="3"/>
      <c r="D1365" s="3"/>
    </row>
    <row r="1366" spans="1:4" ht="16.5" customHeight="1">
      <c r="A1366" s="3"/>
      <c r="B1366" s="3"/>
      <c r="C1366" s="3"/>
      <c r="D1366" s="3"/>
    </row>
    <row r="1367" spans="1:4" ht="16.5" customHeight="1">
      <c r="A1367" s="3"/>
      <c r="B1367" s="3"/>
      <c r="C1367" s="3"/>
      <c r="D1367" s="3"/>
    </row>
    <row r="1368" spans="1:4" ht="16.5" customHeight="1">
      <c r="A1368" s="3"/>
      <c r="B1368" s="3"/>
      <c r="C1368" s="3"/>
      <c r="D1368" s="3"/>
    </row>
    <row r="1369" spans="1:4" ht="16.5" customHeight="1">
      <c r="A1369" s="3"/>
      <c r="B1369" s="3"/>
      <c r="C1369" s="3"/>
      <c r="D1369" s="3"/>
    </row>
    <row r="1370" spans="1:4" ht="16.5" customHeight="1">
      <c r="A1370" s="3"/>
      <c r="B1370" s="3"/>
      <c r="C1370" s="3"/>
      <c r="D1370" s="3"/>
    </row>
    <row r="1371" spans="1:4" ht="16.5" customHeight="1">
      <c r="A1371" s="3"/>
      <c r="B1371" s="3"/>
      <c r="C1371" s="3"/>
      <c r="D1371" s="3"/>
    </row>
    <row r="1372" spans="1:4" ht="16.5" customHeight="1">
      <c r="A1372" s="3"/>
      <c r="B1372" s="3"/>
      <c r="C1372" s="3"/>
      <c r="D1372" s="3"/>
    </row>
    <row r="1373" spans="1:4" ht="16.5" customHeight="1">
      <c r="A1373" s="3"/>
      <c r="B1373" s="3"/>
      <c r="C1373" s="3"/>
      <c r="D1373" s="3"/>
    </row>
    <row r="1374" spans="1:4" ht="16.5" customHeight="1">
      <c r="A1374" s="3"/>
      <c r="B1374" s="3"/>
      <c r="C1374" s="3"/>
      <c r="D1374" s="3"/>
    </row>
    <row r="1375" spans="1:4" ht="16.5" customHeight="1">
      <c r="A1375" s="3"/>
      <c r="B1375" s="3"/>
      <c r="C1375" s="3"/>
      <c r="D1375" s="3"/>
    </row>
    <row r="1376" spans="1:4" ht="16.5" customHeight="1">
      <c r="A1376" s="3"/>
      <c r="B1376" s="3"/>
      <c r="C1376" s="3"/>
      <c r="D1376" s="3"/>
    </row>
    <row r="1377" spans="1:4" ht="16.5" customHeight="1">
      <c r="A1377" s="3"/>
      <c r="B1377" s="3"/>
      <c r="C1377" s="3"/>
      <c r="D1377" s="3"/>
    </row>
    <row r="1378" spans="1:4" ht="16.5" customHeight="1">
      <c r="A1378" s="3"/>
      <c r="B1378" s="3"/>
      <c r="C1378" s="3"/>
      <c r="D1378" s="3"/>
    </row>
    <row r="1379" spans="1:4" ht="16.5" customHeight="1">
      <c r="A1379" s="3"/>
      <c r="B1379" s="3"/>
      <c r="C1379" s="3"/>
      <c r="D1379" s="3"/>
    </row>
    <row r="1380" spans="1:4" ht="16.5" customHeight="1">
      <c r="A1380" s="3"/>
      <c r="B1380" s="3"/>
      <c r="C1380" s="3"/>
      <c r="D1380" s="3"/>
    </row>
    <row r="1381" spans="1:4" ht="16.5" customHeight="1">
      <c r="A1381" s="3"/>
      <c r="B1381" s="3"/>
      <c r="C1381" s="3"/>
      <c r="D1381" s="3"/>
    </row>
    <row r="1382" spans="1:4" ht="16.5" customHeight="1">
      <c r="A1382" s="3"/>
      <c r="B1382" s="3"/>
      <c r="C1382" s="3"/>
      <c r="D1382" s="3"/>
    </row>
    <row r="1383" spans="1:4" ht="16.5" customHeight="1">
      <c r="A1383" s="3"/>
      <c r="B1383" s="3"/>
      <c r="C1383" s="3"/>
      <c r="D1383" s="3"/>
    </row>
    <row r="1384" spans="1:4" ht="16.5" customHeight="1">
      <c r="A1384" s="3"/>
      <c r="B1384" s="3"/>
      <c r="C1384" s="3"/>
      <c r="D1384" s="3"/>
    </row>
    <row r="1385" spans="1:4" ht="16.5" customHeight="1">
      <c r="A1385" s="3"/>
      <c r="B1385" s="3"/>
      <c r="C1385" s="3"/>
      <c r="D1385" s="3"/>
    </row>
    <row r="1386" spans="1:4" ht="16.5" customHeight="1">
      <c r="A1386" s="3"/>
      <c r="B1386" s="3"/>
      <c r="C1386" s="3"/>
      <c r="D1386" s="3"/>
    </row>
    <row r="1387" spans="1:4" ht="16.5" customHeight="1">
      <c r="A1387" s="3"/>
      <c r="B1387" s="3"/>
      <c r="C1387" s="3"/>
      <c r="D1387" s="3"/>
    </row>
    <row r="1388" spans="1:4" ht="16.5" customHeight="1">
      <c r="A1388" s="3"/>
      <c r="B1388" s="3"/>
      <c r="C1388" s="3"/>
      <c r="D1388" s="3"/>
    </row>
    <row r="1389" spans="1:4" ht="16.5" customHeight="1">
      <c r="A1389" s="3"/>
      <c r="B1389" s="3"/>
      <c r="C1389" s="3"/>
      <c r="D1389" s="3"/>
    </row>
    <row r="1390" spans="1:4" ht="16.5" customHeight="1">
      <c r="A1390" s="3"/>
      <c r="B1390" s="3"/>
      <c r="C1390" s="3"/>
      <c r="D1390" s="3"/>
    </row>
    <row r="1391" spans="1:4" ht="16.5" customHeight="1">
      <c r="A1391" s="3"/>
      <c r="B1391" s="3"/>
      <c r="C1391" s="3"/>
      <c r="D1391" s="3"/>
    </row>
    <row r="1392" spans="1:4" ht="16.5" customHeight="1">
      <c r="A1392" s="3"/>
      <c r="B1392" s="3"/>
      <c r="C1392" s="3"/>
      <c r="D1392" s="3"/>
    </row>
    <row r="1393" spans="1:4" ht="16.5" customHeight="1">
      <c r="A1393" s="3"/>
      <c r="B1393" s="3"/>
      <c r="C1393" s="3"/>
      <c r="D1393" s="3"/>
    </row>
    <row r="1394" spans="1:4" ht="16.5" customHeight="1">
      <c r="A1394" s="3"/>
      <c r="B1394" s="3"/>
      <c r="C1394" s="3"/>
      <c r="D1394" s="3"/>
    </row>
    <row r="1395" spans="1:4" ht="16.5" customHeight="1">
      <c r="A1395" s="3"/>
      <c r="B1395" s="3"/>
      <c r="C1395" s="3"/>
      <c r="D1395" s="3"/>
    </row>
    <row r="1396" spans="1:4" ht="16.5" customHeight="1">
      <c r="A1396" s="3"/>
      <c r="B1396" s="3"/>
      <c r="C1396" s="3"/>
      <c r="D1396" s="3"/>
    </row>
    <row r="1397" spans="1:4" ht="16.5" customHeight="1">
      <c r="A1397" s="3"/>
      <c r="B1397" s="3"/>
      <c r="C1397" s="3"/>
      <c r="D1397" s="3"/>
    </row>
    <row r="1398" spans="1:4" ht="16.5" customHeight="1">
      <c r="A1398" s="3"/>
      <c r="B1398" s="3"/>
      <c r="C1398" s="3"/>
      <c r="D1398" s="3"/>
    </row>
    <row r="1399" spans="1:4" ht="16.5" customHeight="1">
      <c r="A1399" s="3"/>
      <c r="B1399" s="3"/>
      <c r="C1399" s="3"/>
      <c r="D1399" s="3"/>
    </row>
    <row r="1400" spans="1:4" ht="16.5" customHeight="1">
      <c r="A1400" s="3"/>
      <c r="B1400" s="3"/>
      <c r="C1400" s="3"/>
      <c r="D1400" s="3"/>
    </row>
    <row r="1401" spans="1:4" ht="16.5" customHeight="1">
      <c r="A1401" s="3"/>
      <c r="B1401" s="3"/>
      <c r="C1401" s="3"/>
      <c r="D1401" s="3"/>
    </row>
    <row r="1402" spans="1:4" ht="16.5" customHeight="1">
      <c r="A1402" s="3"/>
      <c r="B1402" s="3"/>
      <c r="C1402" s="3"/>
      <c r="D1402" s="3"/>
    </row>
    <row r="1403" spans="1:4" ht="16.5" customHeight="1">
      <c r="A1403" s="3"/>
      <c r="B1403" s="3"/>
      <c r="C1403" s="3"/>
      <c r="D1403" s="3"/>
    </row>
    <row r="1404" spans="1:4" ht="16.5" customHeight="1">
      <c r="A1404" s="3"/>
      <c r="B1404" s="3"/>
      <c r="C1404" s="3"/>
      <c r="D1404" s="3"/>
    </row>
    <row r="1405" spans="1:4" ht="16.5" customHeight="1">
      <c r="A1405" s="3"/>
      <c r="B1405" s="3"/>
      <c r="C1405" s="3"/>
      <c r="D1405" s="3"/>
    </row>
    <row r="1406" spans="1:4" ht="16.5" customHeight="1">
      <c r="A1406" s="3"/>
      <c r="B1406" s="3"/>
      <c r="C1406" s="3"/>
      <c r="D1406" s="3"/>
    </row>
    <row r="1407" spans="1:4" ht="16.5" customHeight="1">
      <c r="A1407" s="3"/>
      <c r="B1407" s="3"/>
      <c r="C1407" s="3"/>
      <c r="D1407" s="3"/>
    </row>
    <row r="1408" spans="1:4" ht="16.5" customHeight="1">
      <c r="A1408" s="3"/>
      <c r="B1408" s="3"/>
      <c r="C1408" s="3"/>
      <c r="D1408" s="3"/>
    </row>
    <row r="1409" spans="1:4" ht="16.5" customHeight="1">
      <c r="A1409" s="3"/>
      <c r="B1409" s="3"/>
      <c r="C1409" s="3"/>
      <c r="D1409" s="3"/>
    </row>
    <row r="1410" spans="1:4" ht="16.5" customHeight="1">
      <c r="A1410" s="3"/>
      <c r="B1410" s="3"/>
      <c r="C1410" s="3"/>
      <c r="D1410" s="3"/>
    </row>
    <row r="1411" spans="1:4" ht="16.5" customHeight="1">
      <c r="A1411" s="3"/>
      <c r="B1411" s="3"/>
      <c r="C1411" s="3"/>
      <c r="D1411" s="3"/>
    </row>
    <row r="1412" spans="1:4" ht="16.5" customHeight="1">
      <c r="A1412" s="3"/>
      <c r="B1412" s="3"/>
      <c r="C1412" s="3"/>
      <c r="D1412" s="3"/>
    </row>
    <row r="1413" spans="1:4" ht="16.5" customHeight="1">
      <c r="A1413" s="3"/>
      <c r="B1413" s="3"/>
      <c r="C1413" s="3"/>
      <c r="D1413" s="3"/>
    </row>
    <row r="1414" spans="1:4" ht="16.5" customHeight="1">
      <c r="A1414" s="3"/>
      <c r="B1414" s="3"/>
      <c r="C1414" s="3"/>
      <c r="D1414" s="3"/>
    </row>
    <row r="1415" spans="1:4" ht="16.5" customHeight="1">
      <c r="A1415" s="3"/>
      <c r="B1415" s="3"/>
      <c r="C1415" s="3"/>
      <c r="D1415" s="3"/>
    </row>
    <row r="1416" spans="1:4" ht="16.5" customHeight="1">
      <c r="A1416" s="3"/>
      <c r="B1416" s="3"/>
      <c r="C1416" s="3"/>
      <c r="D1416" s="3"/>
    </row>
    <row r="1417" spans="1:4" ht="16.5" customHeight="1">
      <c r="A1417" s="3"/>
      <c r="B1417" s="3"/>
      <c r="C1417" s="3"/>
      <c r="D1417" s="3"/>
    </row>
    <row r="1418" spans="1:4" ht="16.5" customHeight="1">
      <c r="A1418" s="3"/>
      <c r="B1418" s="3"/>
      <c r="C1418" s="3"/>
      <c r="D1418" s="3"/>
    </row>
    <row r="1419" spans="1:4" ht="16.5" customHeight="1">
      <c r="A1419" s="3"/>
      <c r="B1419" s="3"/>
      <c r="C1419" s="3"/>
      <c r="D1419" s="3"/>
    </row>
    <row r="1420" spans="1:4" ht="16.5" customHeight="1">
      <c r="A1420" s="3"/>
      <c r="B1420" s="3"/>
      <c r="C1420" s="3"/>
      <c r="D1420" s="3"/>
    </row>
    <row r="1421" spans="1:4" ht="16.5" customHeight="1">
      <c r="A1421" s="3"/>
      <c r="B1421" s="3"/>
      <c r="C1421" s="3"/>
      <c r="D1421" s="3"/>
    </row>
    <row r="1422" spans="1:4" ht="16.5" customHeight="1">
      <c r="A1422" s="3"/>
      <c r="B1422" s="3"/>
      <c r="C1422" s="3"/>
      <c r="D1422" s="3"/>
    </row>
    <row r="1423" spans="1:4" ht="16.5" customHeight="1">
      <c r="A1423" s="3"/>
      <c r="B1423" s="3"/>
      <c r="C1423" s="3"/>
      <c r="D1423" s="3"/>
    </row>
    <row r="1424" spans="1:4" ht="16.5" customHeight="1">
      <c r="A1424" s="3"/>
      <c r="B1424" s="3"/>
      <c r="C1424" s="3"/>
      <c r="D1424" s="3"/>
    </row>
    <row r="1425" spans="1:4" ht="16.5" customHeight="1">
      <c r="A1425" s="3"/>
      <c r="B1425" s="3"/>
      <c r="C1425" s="3"/>
      <c r="D1425" s="3"/>
    </row>
    <row r="1426" spans="1:4" ht="16.5" customHeight="1">
      <c r="A1426" s="3"/>
      <c r="B1426" s="3"/>
      <c r="C1426" s="3"/>
      <c r="D1426" s="3"/>
    </row>
    <row r="1427" spans="1:4" ht="16.5" customHeight="1">
      <c r="A1427" s="3"/>
      <c r="B1427" s="3"/>
      <c r="C1427" s="3"/>
      <c r="D1427" s="3"/>
    </row>
    <row r="1428" spans="1:4" ht="16.5" customHeight="1">
      <c r="A1428" s="3"/>
      <c r="B1428" s="3"/>
      <c r="C1428" s="3"/>
      <c r="D1428" s="3"/>
    </row>
    <row r="1429" spans="1:4" ht="16.5" customHeight="1">
      <c r="A1429" s="3"/>
      <c r="B1429" s="3"/>
      <c r="C1429" s="3"/>
      <c r="D1429" s="3"/>
    </row>
    <row r="1430" spans="1:4" ht="16.5" customHeight="1">
      <c r="A1430" s="3"/>
      <c r="B1430" s="3"/>
      <c r="C1430" s="3"/>
      <c r="D1430" s="3"/>
    </row>
    <row r="1431" spans="1:4" ht="16.5" customHeight="1">
      <c r="A1431" s="3"/>
      <c r="B1431" s="3"/>
      <c r="C1431" s="3"/>
      <c r="D1431" s="3"/>
    </row>
    <row r="1432" spans="1:4" ht="16.5" customHeight="1">
      <c r="A1432" s="3"/>
      <c r="B1432" s="3"/>
      <c r="C1432" s="3"/>
      <c r="D1432" s="3"/>
    </row>
    <row r="1433" spans="1:4" ht="16.5" customHeight="1">
      <c r="A1433" s="3"/>
      <c r="B1433" s="3"/>
      <c r="C1433" s="3"/>
      <c r="D1433" s="3"/>
    </row>
    <row r="1434" spans="1:4" ht="16.5" customHeight="1">
      <c r="A1434" s="3"/>
      <c r="B1434" s="3"/>
      <c r="C1434" s="3"/>
      <c r="D1434" s="3"/>
    </row>
    <row r="1435" spans="1:4" ht="16.5" customHeight="1">
      <c r="A1435" s="3"/>
      <c r="B1435" s="3"/>
      <c r="C1435" s="3"/>
      <c r="D1435" s="3"/>
    </row>
    <row r="1436" spans="1:4" ht="16.5" customHeight="1">
      <c r="A1436" s="3"/>
      <c r="B1436" s="3"/>
      <c r="C1436" s="3"/>
      <c r="D1436" s="3"/>
    </row>
    <row r="1437" spans="1:4" ht="16.5" customHeight="1">
      <c r="A1437" s="3"/>
      <c r="B1437" s="3"/>
      <c r="C1437" s="3"/>
      <c r="D1437" s="3"/>
    </row>
    <row r="1438" spans="1:4" ht="16.5" customHeight="1">
      <c r="A1438" s="3"/>
      <c r="B1438" s="3"/>
      <c r="C1438" s="3"/>
      <c r="D1438" s="3"/>
    </row>
    <row r="1439" spans="1:4" ht="16.5" customHeight="1">
      <c r="A1439" s="3"/>
      <c r="B1439" s="3"/>
      <c r="C1439" s="3"/>
      <c r="D1439" s="3"/>
    </row>
    <row r="1440" spans="1:4" ht="16.5" customHeight="1">
      <c r="A1440" s="3"/>
      <c r="B1440" s="3"/>
      <c r="C1440" s="3"/>
      <c r="D1440" s="3"/>
    </row>
    <row r="1441" spans="1:4" ht="16.5" customHeight="1">
      <c r="A1441" s="3"/>
      <c r="B1441" s="3"/>
      <c r="C1441" s="3"/>
      <c r="D1441" s="3"/>
    </row>
    <row r="1442" spans="1:4" ht="16.5" customHeight="1">
      <c r="A1442" s="3"/>
      <c r="B1442" s="3"/>
      <c r="C1442" s="3"/>
      <c r="D1442" s="3"/>
    </row>
    <row r="1443" spans="1:4" ht="16.5" customHeight="1">
      <c r="A1443" s="3"/>
      <c r="B1443" s="3"/>
      <c r="C1443" s="3"/>
      <c r="D1443" s="3"/>
    </row>
    <row r="1444" spans="1:4" ht="16.5" customHeight="1">
      <c r="A1444" s="3"/>
      <c r="B1444" s="3"/>
      <c r="C1444" s="3"/>
      <c r="D1444" s="3"/>
    </row>
    <row r="1445" spans="1:4" ht="16.5" customHeight="1">
      <c r="A1445" s="3"/>
      <c r="B1445" s="3"/>
      <c r="C1445" s="3"/>
      <c r="D1445" s="3"/>
    </row>
    <row r="1446" spans="1:4" ht="16.5" customHeight="1">
      <c r="A1446" s="3"/>
      <c r="B1446" s="3"/>
      <c r="C1446" s="3"/>
      <c r="D1446" s="3"/>
    </row>
    <row r="1447" spans="1:4" ht="16.5" customHeight="1">
      <c r="A1447" s="3"/>
      <c r="B1447" s="3"/>
      <c r="C1447" s="3"/>
      <c r="D1447" s="3"/>
    </row>
    <row r="1448" spans="1:4" ht="16.5" customHeight="1">
      <c r="A1448" s="3"/>
      <c r="B1448" s="3"/>
      <c r="C1448" s="3"/>
      <c r="D1448" s="3"/>
    </row>
    <row r="1449" spans="1:4" ht="16.5" customHeight="1">
      <c r="A1449" s="3"/>
      <c r="B1449" s="3"/>
      <c r="C1449" s="3"/>
      <c r="D1449" s="3"/>
    </row>
    <row r="1450" spans="1:4" ht="16.5" customHeight="1">
      <c r="A1450" s="3"/>
      <c r="B1450" s="3"/>
      <c r="C1450" s="3"/>
      <c r="D1450" s="3"/>
    </row>
    <row r="1451" spans="1:4" ht="16.5" customHeight="1">
      <c r="A1451" s="3"/>
      <c r="B1451" s="3"/>
      <c r="C1451" s="3"/>
      <c r="D1451" s="3"/>
    </row>
    <row r="1452" spans="1:4" ht="16.5" customHeight="1">
      <c r="A1452" s="3"/>
      <c r="B1452" s="3"/>
      <c r="C1452" s="3"/>
      <c r="D1452" s="3"/>
    </row>
    <row r="1453" spans="1:4" ht="16.5" customHeight="1">
      <c r="A1453" s="3"/>
      <c r="B1453" s="3"/>
      <c r="C1453" s="3"/>
      <c r="D1453" s="3"/>
    </row>
    <row r="1454" spans="1:4" ht="16.5" customHeight="1">
      <c r="A1454" s="3"/>
      <c r="B1454" s="3"/>
      <c r="C1454" s="3"/>
      <c r="D1454" s="3"/>
    </row>
    <row r="1455" spans="1:4" ht="16.5" customHeight="1">
      <c r="A1455" s="3"/>
      <c r="B1455" s="3"/>
      <c r="C1455" s="3"/>
      <c r="D1455" s="3"/>
    </row>
    <row r="1456" spans="1:4" ht="16.5" customHeight="1">
      <c r="A1456" s="3"/>
      <c r="B1456" s="3"/>
      <c r="C1456" s="3"/>
      <c r="D1456" s="3"/>
    </row>
    <row r="1457" spans="1:4" ht="16.5" customHeight="1">
      <c r="A1457" s="3"/>
      <c r="B1457" s="3"/>
      <c r="C1457" s="3"/>
      <c r="D1457" s="3"/>
    </row>
    <row r="1458" spans="1:4" ht="16.5" customHeight="1">
      <c r="A1458" s="3"/>
      <c r="B1458" s="3"/>
      <c r="C1458" s="3"/>
      <c r="D1458" s="3"/>
    </row>
    <row r="1459" spans="1:4" ht="16.5" customHeight="1">
      <c r="A1459" s="3"/>
      <c r="B1459" s="3"/>
      <c r="C1459" s="3"/>
      <c r="D1459" s="3"/>
    </row>
    <row r="1460" spans="1:4" ht="16.5" customHeight="1">
      <c r="A1460" s="3"/>
      <c r="B1460" s="3"/>
      <c r="C1460" s="3"/>
      <c r="D1460" s="3"/>
    </row>
    <row r="1461" spans="1:4" ht="16.5" customHeight="1">
      <c r="A1461" s="3"/>
      <c r="B1461" s="3"/>
      <c r="C1461" s="3"/>
      <c r="D1461" s="3"/>
    </row>
    <row r="1462" spans="1:4" ht="16.5" customHeight="1">
      <c r="A1462" s="3"/>
      <c r="B1462" s="3"/>
      <c r="C1462" s="3"/>
      <c r="D1462" s="3"/>
    </row>
    <row r="1463" spans="1:4" ht="16.5" customHeight="1">
      <c r="A1463" s="3"/>
      <c r="B1463" s="3"/>
      <c r="C1463" s="3"/>
      <c r="D1463" s="3"/>
    </row>
    <row r="1464" spans="1:4" ht="16.5" customHeight="1">
      <c r="A1464" s="3"/>
      <c r="B1464" s="3"/>
      <c r="C1464" s="3"/>
      <c r="D1464" s="3"/>
    </row>
    <row r="1465" spans="1:4" ht="16.5" customHeight="1">
      <c r="A1465" s="3"/>
      <c r="B1465" s="3"/>
      <c r="C1465" s="3"/>
      <c r="D1465" s="3"/>
    </row>
    <row r="1466" spans="1:4" ht="16.5" customHeight="1">
      <c r="A1466" s="3"/>
      <c r="B1466" s="3"/>
      <c r="C1466" s="3"/>
      <c r="D1466" s="3"/>
    </row>
    <row r="1467" spans="1:4" ht="16.5" customHeight="1">
      <c r="A1467" s="3"/>
      <c r="B1467" s="3"/>
      <c r="C1467" s="3"/>
      <c r="D1467" s="3"/>
    </row>
    <row r="1468" spans="1:4" ht="16.5" customHeight="1">
      <c r="A1468" s="3"/>
      <c r="B1468" s="3"/>
      <c r="C1468" s="3"/>
      <c r="D1468" s="3"/>
    </row>
    <row r="1469" spans="1:4" ht="16.5" customHeight="1">
      <c r="A1469" s="3"/>
      <c r="B1469" s="3"/>
      <c r="C1469" s="3"/>
      <c r="D1469" s="3"/>
    </row>
    <row r="1470" spans="1:4" ht="16.5" customHeight="1">
      <c r="A1470" s="3"/>
      <c r="B1470" s="3"/>
      <c r="C1470" s="3"/>
      <c r="D1470" s="3"/>
    </row>
    <row r="1471" spans="1:4" ht="16.5" customHeight="1">
      <c r="A1471" s="3"/>
      <c r="B1471" s="3"/>
      <c r="C1471" s="3"/>
      <c r="D1471" s="3"/>
    </row>
    <row r="1472" spans="1:4" ht="16.5" customHeight="1">
      <c r="A1472" s="3"/>
      <c r="B1472" s="3"/>
      <c r="C1472" s="3"/>
      <c r="D1472" s="3"/>
    </row>
    <row r="1473" spans="1:4" ht="16.5" customHeight="1">
      <c r="A1473" s="3"/>
      <c r="B1473" s="3"/>
      <c r="C1473" s="3"/>
      <c r="D1473" s="3"/>
    </row>
    <row r="1474" spans="1:4" ht="16.5" customHeight="1">
      <c r="A1474" s="3"/>
      <c r="B1474" s="3"/>
      <c r="C1474" s="3"/>
      <c r="D1474" s="3"/>
    </row>
    <row r="1475" spans="1:4" ht="16.5" customHeight="1">
      <c r="A1475" s="3"/>
      <c r="B1475" s="3"/>
      <c r="C1475" s="3"/>
      <c r="D1475" s="3"/>
    </row>
    <row r="1476" spans="1:4" ht="16.5" customHeight="1">
      <c r="A1476" s="3"/>
      <c r="B1476" s="3"/>
      <c r="C1476" s="3"/>
      <c r="D1476" s="3"/>
    </row>
    <row r="1477" spans="1:4" ht="16.5" customHeight="1">
      <c r="A1477" s="3"/>
      <c r="B1477" s="3"/>
      <c r="C1477" s="3"/>
      <c r="D1477" s="3"/>
    </row>
    <row r="1478" spans="1:4" ht="16.5" customHeight="1">
      <c r="A1478" s="3"/>
      <c r="B1478" s="3"/>
      <c r="C1478" s="3"/>
      <c r="D1478" s="3"/>
    </row>
    <row r="1479" spans="1:4" ht="16.5" customHeight="1">
      <c r="A1479" s="3"/>
      <c r="B1479" s="3"/>
      <c r="C1479" s="3"/>
      <c r="D1479" s="3"/>
    </row>
    <row r="1480" spans="1:4" ht="16.5" customHeight="1">
      <c r="A1480" s="3"/>
      <c r="B1480" s="3"/>
      <c r="C1480" s="3"/>
      <c r="D1480" s="3"/>
    </row>
    <row r="1481" spans="1:4" ht="16.5" customHeight="1">
      <c r="A1481" s="3"/>
      <c r="B1481" s="3"/>
      <c r="C1481" s="3"/>
      <c r="D1481" s="3"/>
    </row>
    <row r="1482" spans="1:4" ht="16.5" customHeight="1">
      <c r="A1482" s="3"/>
      <c r="B1482" s="3"/>
      <c r="C1482" s="3"/>
      <c r="D1482" s="3"/>
    </row>
    <row r="1483" spans="1:4" ht="16.5" customHeight="1">
      <c r="A1483" s="3"/>
      <c r="B1483" s="3"/>
      <c r="C1483" s="3"/>
      <c r="D1483" s="3"/>
    </row>
    <row r="1484" spans="1:4" ht="16.5" customHeight="1">
      <c r="A1484" s="3"/>
      <c r="B1484" s="3"/>
      <c r="C1484" s="3"/>
      <c r="D1484" s="3"/>
    </row>
    <row r="1485" spans="1:4" ht="16.5" customHeight="1">
      <c r="A1485" s="3"/>
      <c r="B1485" s="3"/>
      <c r="C1485" s="3"/>
      <c r="D1485" s="3"/>
    </row>
    <row r="1486" spans="1:4" ht="16.5" customHeight="1">
      <c r="A1486" s="3"/>
      <c r="B1486" s="3"/>
      <c r="C1486" s="3"/>
      <c r="D1486" s="3"/>
    </row>
    <row r="1487" spans="1:4" ht="16.5" customHeight="1">
      <c r="A1487" s="3"/>
      <c r="B1487" s="3"/>
      <c r="C1487" s="3"/>
      <c r="D1487" s="3"/>
    </row>
    <row r="1488" spans="1:4" ht="16.5" customHeight="1">
      <c r="A1488" s="3"/>
      <c r="B1488" s="3"/>
      <c r="C1488" s="3"/>
      <c r="D1488" s="3"/>
    </row>
    <row r="1489" spans="1:4" ht="16.5" customHeight="1">
      <c r="A1489" s="3"/>
      <c r="B1489" s="3"/>
      <c r="C1489" s="3"/>
      <c r="D1489" s="3"/>
    </row>
    <row r="1490" spans="1:4" ht="16.5" customHeight="1">
      <c r="A1490" s="3"/>
      <c r="B1490" s="3"/>
      <c r="C1490" s="3"/>
      <c r="D1490" s="3"/>
    </row>
    <row r="1491" spans="1:4" ht="16.5" customHeight="1">
      <c r="A1491" s="3"/>
      <c r="B1491" s="3"/>
      <c r="C1491" s="3"/>
      <c r="D1491" s="3"/>
    </row>
    <row r="1492" spans="1:4" ht="16.5" customHeight="1">
      <c r="A1492" s="3"/>
      <c r="B1492" s="3"/>
      <c r="C1492" s="3"/>
      <c r="D1492" s="3"/>
    </row>
    <row r="1493" spans="1:4" ht="16.5" customHeight="1">
      <c r="A1493" s="3"/>
      <c r="B1493" s="3"/>
      <c r="C1493" s="3"/>
      <c r="D1493" s="3"/>
    </row>
    <row r="1494" spans="1:4" ht="16.5" customHeight="1">
      <c r="A1494" s="3"/>
      <c r="B1494" s="3"/>
      <c r="C1494" s="3"/>
      <c r="D1494" s="3"/>
    </row>
    <row r="1495" spans="1:4" ht="16.5" customHeight="1">
      <c r="A1495" s="3"/>
      <c r="B1495" s="3"/>
      <c r="C1495" s="3"/>
      <c r="D1495" s="3"/>
    </row>
    <row r="1496" spans="1:4" ht="16.5" customHeight="1">
      <c r="A1496" s="3"/>
      <c r="B1496" s="3"/>
      <c r="C1496" s="3"/>
      <c r="D1496" s="3"/>
    </row>
    <row r="1497" spans="1:4" ht="16.5" customHeight="1">
      <c r="A1497" s="3"/>
      <c r="B1497" s="3"/>
      <c r="C1497" s="3"/>
      <c r="D1497" s="3"/>
    </row>
    <row r="1498" spans="1:4" ht="16.5" customHeight="1">
      <c r="A1498" s="3"/>
      <c r="B1498" s="3"/>
      <c r="C1498" s="3"/>
      <c r="D1498" s="3"/>
    </row>
    <row r="1499" spans="1:4" ht="16.5" customHeight="1">
      <c r="A1499" s="3"/>
      <c r="B1499" s="3"/>
      <c r="C1499" s="3"/>
      <c r="D1499" s="3"/>
    </row>
    <row r="1500" spans="1:4" ht="16.5" customHeight="1">
      <c r="A1500" s="3"/>
      <c r="B1500" s="3"/>
      <c r="C1500" s="3"/>
      <c r="D1500" s="3"/>
    </row>
    <row r="1501" spans="1:4" ht="16.5" customHeight="1">
      <c r="A1501" s="3"/>
      <c r="B1501" s="3"/>
      <c r="C1501" s="3"/>
      <c r="D1501" s="3"/>
    </row>
    <row r="1502" spans="1:4" ht="16.5" customHeight="1">
      <c r="A1502" s="3"/>
      <c r="B1502" s="3"/>
      <c r="C1502" s="3"/>
      <c r="D1502" s="3"/>
    </row>
    <row r="1503" spans="1:4" ht="16.5" customHeight="1">
      <c r="A1503" s="3"/>
      <c r="B1503" s="3"/>
      <c r="C1503" s="3"/>
      <c r="D1503" s="3"/>
    </row>
    <row r="1504" spans="1:4" ht="16.5" customHeight="1">
      <c r="A1504" s="3"/>
      <c r="B1504" s="3"/>
      <c r="C1504" s="3"/>
      <c r="D1504" s="3"/>
    </row>
    <row r="1505" spans="1:4" ht="16.5" customHeight="1">
      <c r="A1505" s="3"/>
      <c r="B1505" s="3"/>
      <c r="C1505" s="3"/>
      <c r="D1505" s="3"/>
    </row>
    <row r="1506" spans="1:4" ht="16.5" customHeight="1">
      <c r="A1506" s="3"/>
      <c r="B1506" s="3"/>
      <c r="C1506" s="3"/>
      <c r="D1506" s="3"/>
    </row>
    <row r="1507" spans="1:4" ht="16.5" customHeight="1">
      <c r="A1507" s="3"/>
      <c r="B1507" s="3"/>
      <c r="C1507" s="3"/>
      <c r="D1507" s="3"/>
    </row>
    <row r="1508" spans="1:4" ht="16.5" customHeight="1">
      <c r="A1508" s="3"/>
      <c r="B1508" s="3"/>
      <c r="C1508" s="3"/>
      <c r="D1508" s="3"/>
    </row>
    <row r="1509" spans="1:4" ht="16.5" customHeight="1">
      <c r="A1509" s="3"/>
      <c r="B1509" s="3"/>
      <c r="C1509" s="3"/>
      <c r="D1509" s="3"/>
    </row>
    <row r="1510" spans="1:4" ht="16.5" customHeight="1">
      <c r="A1510" s="3"/>
      <c r="B1510" s="3"/>
      <c r="C1510" s="3"/>
      <c r="D1510" s="3"/>
    </row>
    <row r="1511" spans="1:4" ht="16.5" customHeight="1">
      <c r="A1511" s="3"/>
      <c r="B1511" s="3"/>
      <c r="C1511" s="3"/>
      <c r="D1511" s="3"/>
    </row>
    <row r="1512" spans="1:4" ht="16.5" customHeight="1">
      <c r="A1512" s="3"/>
      <c r="B1512" s="3"/>
      <c r="C1512" s="3"/>
      <c r="D1512" s="3"/>
    </row>
    <row r="1513" spans="1:4" ht="16.5" customHeight="1">
      <c r="A1513" s="3"/>
      <c r="B1513" s="3"/>
      <c r="C1513" s="3"/>
      <c r="D1513" s="3"/>
    </row>
    <row r="1514" spans="1:4" ht="16.5" customHeight="1">
      <c r="A1514" s="3"/>
      <c r="B1514" s="3"/>
      <c r="C1514" s="3"/>
      <c r="D1514" s="3"/>
    </row>
    <row r="1515" spans="1:4" ht="16.5" customHeight="1">
      <c r="A1515" s="3"/>
      <c r="B1515" s="3"/>
      <c r="C1515" s="3"/>
      <c r="D1515" s="3"/>
    </row>
    <row r="1516" spans="1:4" ht="16.5" customHeight="1">
      <c r="A1516" s="3"/>
      <c r="B1516" s="3"/>
      <c r="C1516" s="3"/>
      <c r="D1516" s="3"/>
    </row>
    <row r="1517" spans="1:4" ht="16.5" customHeight="1">
      <c r="A1517" s="3"/>
      <c r="B1517" s="3"/>
      <c r="C1517" s="3"/>
      <c r="D1517" s="3"/>
    </row>
    <row r="1518" spans="1:4" ht="16.5" customHeight="1">
      <c r="A1518" s="3"/>
      <c r="B1518" s="3"/>
      <c r="C1518" s="3"/>
      <c r="D1518" s="3"/>
    </row>
    <row r="1519" spans="1:4" ht="16.5" customHeight="1">
      <c r="A1519" s="3"/>
      <c r="B1519" s="3"/>
      <c r="C1519" s="3"/>
      <c r="D1519" s="3"/>
    </row>
    <row r="1520" spans="1:4" ht="16.5" customHeight="1">
      <c r="A1520" s="3"/>
      <c r="B1520" s="3"/>
      <c r="C1520" s="3"/>
      <c r="D1520" s="3"/>
    </row>
    <row r="1521" spans="1:4" ht="16.5" customHeight="1">
      <c r="A1521" s="3"/>
      <c r="B1521" s="3"/>
      <c r="C1521" s="3"/>
      <c r="D1521" s="3"/>
    </row>
    <row r="1522" spans="1:4" ht="16.5" customHeight="1">
      <c r="A1522" s="3"/>
      <c r="B1522" s="3"/>
      <c r="C1522" s="3"/>
      <c r="D1522" s="3"/>
    </row>
    <row r="1523" spans="1:4" ht="16.5" customHeight="1">
      <c r="A1523" s="3"/>
      <c r="B1523" s="3"/>
      <c r="C1523" s="3"/>
      <c r="D1523" s="3"/>
    </row>
    <row r="1524" spans="1:4" ht="16.5" customHeight="1">
      <c r="A1524" s="3"/>
      <c r="B1524" s="3"/>
      <c r="C1524" s="3"/>
      <c r="D1524" s="3"/>
    </row>
    <row r="1525" spans="1:4" ht="16.5" customHeight="1">
      <c r="A1525" s="3"/>
      <c r="B1525" s="3"/>
      <c r="C1525" s="3"/>
      <c r="D1525" s="3"/>
    </row>
    <row r="1526" spans="1:4" ht="16.5" customHeight="1">
      <c r="A1526" s="3"/>
      <c r="B1526" s="3"/>
      <c r="C1526" s="3"/>
      <c r="D1526" s="3"/>
    </row>
    <row r="1527" spans="1:4" ht="16.5" customHeight="1">
      <c r="A1527" s="3"/>
      <c r="B1527" s="3"/>
      <c r="C1527" s="3"/>
      <c r="D1527" s="3"/>
    </row>
    <row r="1528" spans="1:4" ht="16.5" customHeight="1">
      <c r="A1528" s="3"/>
      <c r="B1528" s="3"/>
      <c r="C1528" s="3"/>
      <c r="D1528" s="3"/>
    </row>
    <row r="1529" spans="1:4" ht="16.5" customHeight="1">
      <c r="A1529" s="3"/>
      <c r="B1529" s="3"/>
      <c r="C1529" s="3"/>
      <c r="D1529" s="3"/>
    </row>
    <row r="1530" spans="1:4" ht="16.5" customHeight="1">
      <c r="A1530" s="3"/>
      <c r="B1530" s="3"/>
      <c r="C1530" s="3"/>
      <c r="D1530" s="3"/>
    </row>
    <row r="1531" spans="1:4" ht="16.5" customHeight="1">
      <c r="A1531" s="3"/>
      <c r="B1531" s="3"/>
      <c r="C1531" s="3"/>
      <c r="D1531" s="3"/>
    </row>
    <row r="1532" spans="1:4" ht="16.5" customHeight="1">
      <c r="A1532" s="3"/>
      <c r="B1532" s="3"/>
      <c r="C1532" s="3"/>
      <c r="D1532" s="3"/>
    </row>
    <row r="1533" spans="1:4" ht="16.5" customHeight="1">
      <c r="A1533" s="3"/>
      <c r="B1533" s="3"/>
      <c r="C1533" s="3"/>
      <c r="D1533" s="3"/>
    </row>
    <row r="1534" spans="1:4" ht="16.5" customHeight="1">
      <c r="A1534" s="3"/>
      <c r="B1534" s="3"/>
      <c r="C1534" s="3"/>
      <c r="D1534" s="3"/>
    </row>
    <row r="1535" spans="1:4" ht="16.5" customHeight="1">
      <c r="A1535" s="3"/>
      <c r="B1535" s="3"/>
      <c r="C1535" s="3"/>
      <c r="D1535" s="3"/>
    </row>
    <row r="1536" spans="1:4" ht="16.5" customHeight="1">
      <c r="A1536" s="3"/>
      <c r="B1536" s="3"/>
      <c r="C1536" s="3"/>
      <c r="D1536" s="3"/>
    </row>
    <row r="1537" spans="1:4" ht="16.5" customHeight="1">
      <c r="A1537" s="3"/>
      <c r="B1537" s="3"/>
      <c r="C1537" s="3"/>
      <c r="D1537" s="3"/>
    </row>
    <row r="1538" spans="1:4" ht="16.5" customHeight="1">
      <c r="A1538" s="3"/>
      <c r="B1538" s="3"/>
      <c r="C1538" s="3"/>
      <c r="D1538" s="3"/>
    </row>
    <row r="1539" spans="1:4" ht="16.5" customHeight="1">
      <c r="A1539" s="3"/>
      <c r="B1539" s="3"/>
      <c r="C1539" s="3"/>
      <c r="D1539" s="3"/>
    </row>
    <row r="1540" spans="1:4" ht="16.5" customHeight="1">
      <c r="A1540" s="3"/>
      <c r="B1540" s="3"/>
      <c r="C1540" s="3"/>
      <c r="D1540" s="3"/>
    </row>
    <row r="1541" spans="1:4" ht="16.5" customHeight="1">
      <c r="A1541" s="3"/>
      <c r="B1541" s="3"/>
      <c r="C1541" s="3"/>
      <c r="D1541" s="3"/>
    </row>
    <row r="1542" spans="1:4" ht="16.5" customHeight="1">
      <c r="A1542" s="3"/>
      <c r="B1542" s="3"/>
      <c r="C1542" s="3"/>
      <c r="D1542" s="3"/>
    </row>
    <row r="1543" spans="1:4" ht="16.5" customHeight="1">
      <c r="A1543" s="3"/>
      <c r="B1543" s="3"/>
      <c r="C1543" s="3"/>
      <c r="D1543" s="3"/>
    </row>
    <row r="1544" spans="1:4" ht="16.5" customHeight="1">
      <c r="A1544" s="3"/>
      <c r="B1544" s="3"/>
      <c r="C1544" s="3"/>
      <c r="D1544" s="3"/>
    </row>
    <row r="1545" spans="1:4" ht="16.5" customHeight="1">
      <c r="A1545" s="3"/>
      <c r="B1545" s="3"/>
      <c r="C1545" s="3"/>
      <c r="D1545" s="3"/>
    </row>
    <row r="1546" spans="1:4" ht="16.5" customHeight="1">
      <c r="A1546" s="3"/>
      <c r="B1546" s="3"/>
      <c r="C1546" s="3"/>
      <c r="D1546" s="3"/>
    </row>
    <row r="1547" spans="1:4" ht="16.5" customHeight="1">
      <c r="A1547" s="3"/>
      <c r="B1547" s="3"/>
      <c r="C1547" s="3"/>
      <c r="D1547" s="3"/>
    </row>
    <row r="1548" spans="1:4" ht="16.5" customHeight="1">
      <c r="A1548" s="3"/>
      <c r="B1548" s="3"/>
      <c r="C1548" s="3"/>
      <c r="D1548" s="3"/>
    </row>
    <row r="1549" spans="1:4" ht="16.5" customHeight="1">
      <c r="A1549" s="3"/>
      <c r="B1549" s="3"/>
      <c r="C1549" s="3"/>
      <c r="D1549" s="3"/>
    </row>
    <row r="1550" spans="1:4" ht="16.5" customHeight="1">
      <c r="A1550" s="3"/>
      <c r="B1550" s="3"/>
      <c r="C1550" s="3"/>
      <c r="D1550" s="3"/>
    </row>
    <row r="1551" spans="1:4" ht="16.5" customHeight="1">
      <c r="A1551" s="3"/>
      <c r="B1551" s="3"/>
      <c r="C1551" s="3"/>
      <c r="D1551" s="3"/>
    </row>
    <row r="1552" spans="1:4" ht="16.5" customHeight="1">
      <c r="A1552" s="3"/>
      <c r="B1552" s="3"/>
      <c r="C1552" s="3"/>
      <c r="D1552" s="3"/>
    </row>
    <row r="1553" spans="1:4" ht="16.5" customHeight="1">
      <c r="A1553" s="3"/>
      <c r="B1553" s="3"/>
      <c r="C1553" s="3"/>
      <c r="D1553" s="3"/>
    </row>
    <row r="1554" spans="1:4" ht="16.5" customHeight="1">
      <c r="A1554" s="3"/>
      <c r="B1554" s="3"/>
      <c r="C1554" s="3"/>
      <c r="D1554" s="3"/>
    </row>
    <row r="1555" spans="1:4" ht="16.5" customHeight="1">
      <c r="A1555" s="3"/>
      <c r="B1555" s="3"/>
      <c r="C1555" s="3"/>
      <c r="D1555" s="3"/>
    </row>
    <row r="1556" spans="1:4" ht="16.5" customHeight="1">
      <c r="A1556" s="3"/>
      <c r="B1556" s="3"/>
      <c r="C1556" s="3"/>
      <c r="D1556" s="3"/>
    </row>
    <row r="1557" spans="1:4" ht="16.5" customHeight="1">
      <c r="A1557" s="3"/>
      <c r="B1557" s="3"/>
      <c r="C1557" s="3"/>
      <c r="D1557" s="3"/>
    </row>
    <row r="1558" spans="1:4" ht="16.5" customHeight="1">
      <c r="A1558" s="3"/>
      <c r="B1558" s="3"/>
      <c r="C1558" s="3"/>
      <c r="D1558" s="3"/>
    </row>
    <row r="1559" spans="1:4" ht="16.5" customHeight="1">
      <c r="A1559" s="3"/>
      <c r="B1559" s="3"/>
      <c r="C1559" s="3"/>
      <c r="D1559" s="3"/>
    </row>
    <row r="1560" spans="1:4" ht="16.5" customHeight="1">
      <c r="A1560" s="3"/>
      <c r="B1560" s="3"/>
      <c r="C1560" s="3"/>
      <c r="D1560" s="3"/>
    </row>
    <row r="1561" spans="1:4" ht="16.5" customHeight="1">
      <c r="A1561" s="3"/>
      <c r="B1561" s="3"/>
      <c r="C1561" s="3"/>
      <c r="D1561" s="3"/>
    </row>
    <row r="1562" spans="1:4" ht="16.5" customHeight="1">
      <c r="A1562" s="3"/>
      <c r="B1562" s="3"/>
      <c r="C1562" s="3"/>
      <c r="D1562" s="3"/>
    </row>
    <row r="1563" spans="1:4" ht="16.5" customHeight="1">
      <c r="A1563" s="3"/>
      <c r="B1563" s="3"/>
      <c r="C1563" s="3"/>
      <c r="D1563" s="3"/>
    </row>
    <row r="1564" spans="1:4" ht="16.5" customHeight="1">
      <c r="A1564" s="3"/>
      <c r="B1564" s="3"/>
      <c r="C1564" s="3"/>
      <c r="D1564" s="3"/>
    </row>
    <row r="1565" spans="1:4" ht="16.5" customHeight="1">
      <c r="A1565" s="3"/>
      <c r="B1565" s="3"/>
      <c r="C1565" s="3"/>
      <c r="D1565" s="3"/>
    </row>
    <row r="1566" spans="1:4" ht="16.5" customHeight="1">
      <c r="A1566" s="3"/>
      <c r="B1566" s="3"/>
      <c r="C1566" s="3"/>
      <c r="D1566" s="3"/>
    </row>
    <row r="1567" spans="1:4" ht="16.5" customHeight="1">
      <c r="A1567" s="3"/>
      <c r="B1567" s="3"/>
      <c r="C1567" s="3"/>
      <c r="D1567" s="3"/>
    </row>
    <row r="1568" spans="1:4" ht="16.5" customHeight="1">
      <c r="A1568" s="3"/>
      <c r="B1568" s="3"/>
      <c r="C1568" s="3"/>
      <c r="D1568" s="3"/>
    </row>
    <row r="1569" spans="1:4" ht="16.5" customHeight="1">
      <c r="A1569" s="3"/>
      <c r="B1569" s="3"/>
      <c r="C1569" s="3"/>
      <c r="D1569" s="3"/>
    </row>
    <row r="1570" spans="1:4" ht="16.5" customHeight="1">
      <c r="A1570" s="3"/>
      <c r="B1570" s="3"/>
      <c r="C1570" s="3"/>
      <c r="D1570" s="3"/>
    </row>
    <row r="1571" spans="1:4" ht="16.5" customHeight="1">
      <c r="A1571" s="3"/>
      <c r="B1571" s="3"/>
      <c r="C1571" s="3"/>
      <c r="D1571" s="3"/>
    </row>
    <row r="1572" spans="1:4" ht="16.5" customHeight="1">
      <c r="A1572" s="3"/>
      <c r="B1572" s="3"/>
      <c r="C1572" s="3"/>
      <c r="D1572" s="3"/>
    </row>
    <row r="1573" spans="1:4" ht="16.5" customHeight="1">
      <c r="A1573" s="3"/>
      <c r="B1573" s="3"/>
      <c r="C1573" s="3"/>
      <c r="D1573" s="3"/>
    </row>
    <row r="1574" spans="1:4" ht="16.5" customHeight="1">
      <c r="A1574" s="3"/>
      <c r="B1574" s="3"/>
      <c r="C1574" s="3"/>
      <c r="D1574" s="3"/>
    </row>
    <row r="1575" spans="1:4" ht="16.5" customHeight="1">
      <c r="A1575" s="3"/>
      <c r="B1575" s="3"/>
      <c r="C1575" s="3"/>
      <c r="D1575" s="3"/>
    </row>
    <row r="1576" spans="1:4" ht="16.5" customHeight="1">
      <c r="A1576" s="3"/>
      <c r="B1576" s="3"/>
      <c r="C1576" s="3"/>
      <c r="D1576" s="3"/>
    </row>
    <row r="1577" spans="1:4" ht="16.5" customHeight="1">
      <c r="A1577" s="3"/>
      <c r="B1577" s="3"/>
      <c r="C1577" s="3"/>
      <c r="D1577" s="3"/>
    </row>
    <row r="1578" spans="1:4" ht="16.5" customHeight="1">
      <c r="A1578" s="3"/>
      <c r="B1578" s="3"/>
      <c r="C1578" s="3"/>
      <c r="D1578" s="3"/>
    </row>
    <row r="1579" spans="1:4" ht="16.5" customHeight="1">
      <c r="A1579" s="3"/>
      <c r="B1579" s="3"/>
      <c r="C1579" s="3"/>
      <c r="D1579" s="3"/>
    </row>
    <row r="1580" spans="1:4" ht="16.5" customHeight="1">
      <c r="A1580" s="3"/>
      <c r="B1580" s="3"/>
      <c r="C1580" s="3"/>
      <c r="D1580" s="3"/>
    </row>
    <row r="1581" spans="1:4" ht="16.5" customHeight="1">
      <c r="A1581" s="3"/>
      <c r="B1581" s="3"/>
      <c r="C1581" s="3"/>
      <c r="D1581" s="3"/>
    </row>
    <row r="1582" spans="1:4" ht="16.5" customHeight="1">
      <c r="A1582" s="3"/>
      <c r="B1582" s="3"/>
      <c r="C1582" s="3"/>
      <c r="D1582" s="3"/>
    </row>
    <row r="1583" spans="1:4" ht="16.5" customHeight="1">
      <c r="A1583" s="3"/>
      <c r="B1583" s="3"/>
      <c r="C1583" s="3"/>
      <c r="D1583" s="3"/>
    </row>
    <row r="1584" spans="1:4" ht="16.5" customHeight="1">
      <c r="A1584" s="3"/>
      <c r="B1584" s="3"/>
      <c r="C1584" s="3"/>
      <c r="D1584" s="3"/>
    </row>
    <row r="1585" spans="1:4" ht="16.5" customHeight="1">
      <c r="A1585" s="3"/>
      <c r="B1585" s="3"/>
      <c r="C1585" s="3"/>
      <c r="D1585" s="3"/>
    </row>
    <row r="1586" spans="1:4" ht="16.5" customHeight="1">
      <c r="A1586" s="3"/>
      <c r="B1586" s="3"/>
      <c r="C1586" s="3"/>
      <c r="D1586" s="3"/>
    </row>
    <row r="1587" spans="1:4" ht="16.5" customHeight="1">
      <c r="A1587" s="3"/>
      <c r="B1587" s="3"/>
      <c r="C1587" s="3"/>
      <c r="D1587" s="3"/>
    </row>
    <row r="1588" spans="1:4" ht="16.5" customHeight="1">
      <c r="A1588" s="3"/>
      <c r="B1588" s="3"/>
      <c r="C1588" s="3"/>
      <c r="D1588" s="3"/>
    </row>
    <row r="1589" spans="1:4" ht="16.5" customHeight="1">
      <c r="A1589" s="3"/>
      <c r="B1589" s="3"/>
      <c r="C1589" s="3"/>
      <c r="D1589" s="3"/>
    </row>
    <row r="1590" spans="1:4" ht="16.5" customHeight="1">
      <c r="A1590" s="3"/>
      <c r="B1590" s="3"/>
      <c r="C1590" s="3"/>
      <c r="D1590" s="3"/>
    </row>
    <row r="1591" spans="1:4" ht="16.5" customHeight="1">
      <c r="A1591" s="3"/>
      <c r="B1591" s="3"/>
      <c r="C1591" s="3"/>
      <c r="D1591" s="3"/>
    </row>
    <row r="1592" spans="1:4" ht="16.5" customHeight="1">
      <c r="A1592" s="3"/>
      <c r="B1592" s="3"/>
      <c r="C1592" s="3"/>
      <c r="D1592" s="3"/>
    </row>
    <row r="1593" spans="1:4" ht="16.5" customHeight="1">
      <c r="A1593" s="3"/>
      <c r="B1593" s="3"/>
      <c r="C1593" s="3"/>
      <c r="D1593" s="3"/>
    </row>
    <row r="1594" spans="1:4" ht="16.5" customHeight="1">
      <c r="A1594" s="3"/>
      <c r="B1594" s="3"/>
      <c r="C1594" s="3"/>
      <c r="D1594" s="3"/>
    </row>
    <row r="1595" spans="1:4" ht="16.5" customHeight="1">
      <c r="A1595" s="3"/>
      <c r="B1595" s="3"/>
      <c r="C1595" s="3"/>
      <c r="D1595" s="3"/>
    </row>
    <row r="1596" spans="1:4" ht="16.5" customHeight="1">
      <c r="A1596" s="3"/>
      <c r="B1596" s="3"/>
      <c r="C1596" s="3"/>
      <c r="D1596" s="3"/>
    </row>
    <row r="1597" spans="1:4" ht="16.5" customHeight="1">
      <c r="A1597" s="3"/>
      <c r="B1597" s="3"/>
      <c r="C1597" s="3"/>
      <c r="D1597" s="3"/>
    </row>
    <row r="1598" spans="1:4" ht="16.5" customHeight="1">
      <c r="A1598" s="3"/>
      <c r="B1598" s="3"/>
      <c r="C1598" s="3"/>
      <c r="D1598" s="3"/>
    </row>
    <row r="1599" spans="1:4" ht="16.5" customHeight="1">
      <c r="A1599" s="3"/>
      <c r="B1599" s="3"/>
      <c r="C1599" s="3"/>
      <c r="D1599" s="3"/>
    </row>
    <row r="1600" spans="1:4" ht="16.5" customHeight="1">
      <c r="A1600" s="3"/>
      <c r="B1600" s="3"/>
      <c r="C1600" s="3"/>
      <c r="D1600" s="3"/>
    </row>
    <row r="1601" spans="1:4" ht="16.5" customHeight="1">
      <c r="A1601" s="3"/>
      <c r="B1601" s="3"/>
      <c r="C1601" s="3"/>
      <c r="D1601" s="3"/>
    </row>
    <row r="1602" spans="1:4" ht="16.5" customHeight="1">
      <c r="A1602" s="3"/>
      <c r="B1602" s="3"/>
      <c r="C1602" s="3"/>
      <c r="D1602" s="3"/>
    </row>
    <row r="1603" spans="1:4" ht="16.5" customHeight="1">
      <c r="A1603" s="3"/>
      <c r="B1603" s="3"/>
      <c r="C1603" s="3"/>
      <c r="D1603" s="3"/>
    </row>
    <row r="1604" spans="1:4" ht="16.5" customHeight="1">
      <c r="A1604" s="3"/>
      <c r="B1604" s="3"/>
      <c r="C1604" s="3"/>
      <c r="D1604" s="3"/>
    </row>
    <row r="1605" spans="1:4" ht="16.5" customHeight="1">
      <c r="A1605" s="3"/>
      <c r="B1605" s="3"/>
      <c r="C1605" s="3"/>
      <c r="D1605" s="3"/>
    </row>
    <row r="1606" spans="1:4" ht="16.5" customHeight="1">
      <c r="A1606" s="3"/>
      <c r="B1606" s="3"/>
      <c r="C1606" s="3"/>
      <c r="D1606" s="3"/>
    </row>
    <row r="1607" spans="1:4" ht="16.5" customHeight="1">
      <c r="A1607" s="3"/>
      <c r="B1607" s="3"/>
      <c r="C1607" s="3"/>
      <c r="D1607" s="3"/>
    </row>
    <row r="1608" spans="1:4" ht="16.5" customHeight="1">
      <c r="A1608" s="3"/>
      <c r="B1608" s="3"/>
      <c r="C1608" s="3"/>
      <c r="D1608" s="3"/>
    </row>
    <row r="1609" spans="1:4" ht="16.5" customHeight="1">
      <c r="A1609" s="3"/>
      <c r="B1609" s="3"/>
      <c r="C1609" s="3"/>
      <c r="D1609" s="3"/>
    </row>
    <row r="1610" spans="1:4" ht="16.5" customHeight="1">
      <c r="A1610" s="3"/>
      <c r="B1610" s="3"/>
      <c r="C1610" s="3"/>
      <c r="D1610" s="3"/>
    </row>
    <row r="1611" spans="1:4" ht="16.5" customHeight="1">
      <c r="A1611" s="3"/>
      <c r="B1611" s="3"/>
      <c r="C1611" s="3"/>
      <c r="D1611" s="3"/>
    </row>
    <row r="1612" spans="1:4" ht="16.5" customHeight="1">
      <c r="A1612" s="3"/>
      <c r="B1612" s="3"/>
      <c r="C1612" s="3"/>
      <c r="D1612" s="3"/>
    </row>
    <row r="1613" spans="1:4" ht="16.5" customHeight="1">
      <c r="A1613" s="3"/>
      <c r="B1613" s="3"/>
      <c r="C1613" s="3"/>
      <c r="D1613" s="3"/>
    </row>
    <row r="1614" spans="1:4" ht="16.5" customHeight="1">
      <c r="A1614" s="3"/>
      <c r="B1614" s="3"/>
      <c r="C1614" s="3"/>
      <c r="D1614" s="3"/>
    </row>
    <row r="1615" spans="1:4" ht="16.5" customHeight="1">
      <c r="A1615" s="3"/>
      <c r="B1615" s="3"/>
      <c r="C1615" s="3"/>
      <c r="D1615" s="3"/>
    </row>
    <row r="1616" spans="1:4" ht="16.5" customHeight="1">
      <c r="A1616" s="3"/>
      <c r="B1616" s="3"/>
      <c r="C1616" s="3"/>
      <c r="D1616" s="3"/>
    </row>
    <row r="1617" spans="1:4" ht="16.5" customHeight="1">
      <c r="A1617" s="3"/>
      <c r="B1617" s="3"/>
      <c r="C1617" s="3"/>
      <c r="D1617" s="3"/>
    </row>
    <row r="1618" spans="1:4" ht="16.5" customHeight="1">
      <c r="A1618" s="3"/>
      <c r="B1618" s="3"/>
      <c r="C1618" s="3"/>
      <c r="D1618" s="3"/>
    </row>
    <row r="1619" spans="1:4" ht="16.5" customHeight="1">
      <c r="A1619" s="3"/>
      <c r="B1619" s="3"/>
      <c r="C1619" s="3"/>
      <c r="D1619" s="3"/>
    </row>
    <row r="1620" spans="1:4" ht="16.5" customHeight="1">
      <c r="A1620" s="3"/>
      <c r="B1620" s="3"/>
      <c r="C1620" s="3"/>
      <c r="D1620" s="3"/>
    </row>
    <row r="1621" spans="1:4" ht="16.5" customHeight="1">
      <c r="A1621" s="3"/>
      <c r="B1621" s="3"/>
      <c r="C1621" s="3"/>
      <c r="D1621" s="3"/>
    </row>
    <row r="1622" spans="1:4" ht="16.5" customHeight="1">
      <c r="A1622" s="3"/>
      <c r="B1622" s="3"/>
      <c r="C1622" s="3"/>
      <c r="D1622" s="3"/>
    </row>
    <row r="1623" spans="1:4" ht="16.5" customHeight="1">
      <c r="A1623" s="3"/>
      <c r="B1623" s="3"/>
      <c r="C1623" s="3"/>
      <c r="D1623" s="3"/>
    </row>
    <row r="1624" spans="1:4" ht="16.5" customHeight="1">
      <c r="A1624" s="3"/>
      <c r="B1624" s="3"/>
      <c r="C1624" s="3"/>
      <c r="D1624" s="3"/>
    </row>
    <row r="1625" spans="1:4" ht="16.5" customHeight="1">
      <c r="A1625" s="3"/>
      <c r="B1625" s="3"/>
      <c r="C1625" s="3"/>
      <c r="D1625" s="3"/>
    </row>
    <row r="1626" spans="1:4" ht="16.5" customHeight="1">
      <c r="A1626" s="3"/>
      <c r="B1626" s="3"/>
      <c r="C1626" s="3"/>
      <c r="D1626" s="3"/>
    </row>
    <row r="1627" spans="1:4" ht="16.5" customHeight="1">
      <c r="A1627" s="3"/>
      <c r="B1627" s="3"/>
      <c r="C1627" s="3"/>
      <c r="D1627" s="3"/>
    </row>
    <row r="1628" spans="1:4" ht="16.5" customHeight="1">
      <c r="A1628" s="3"/>
      <c r="B1628" s="3"/>
      <c r="C1628" s="3"/>
      <c r="D1628" s="3"/>
    </row>
    <row r="1629" spans="1:4" ht="16.5" customHeight="1">
      <c r="A1629" s="3"/>
      <c r="B1629" s="3"/>
      <c r="C1629" s="3"/>
      <c r="D1629" s="3"/>
    </row>
    <row r="1630" spans="1:4" ht="16.5" customHeight="1">
      <c r="A1630" s="3"/>
      <c r="B1630" s="3"/>
      <c r="C1630" s="3"/>
      <c r="D1630" s="3"/>
    </row>
    <row r="1631" spans="1:4" ht="16.5" customHeight="1">
      <c r="A1631" s="3"/>
      <c r="B1631" s="3"/>
      <c r="C1631" s="3"/>
      <c r="D1631" s="3"/>
    </row>
    <row r="1632" spans="1:4" ht="16.5" customHeight="1">
      <c r="A1632" s="3"/>
      <c r="B1632" s="3"/>
      <c r="C1632" s="3"/>
      <c r="D1632" s="3"/>
    </row>
    <row r="1633" spans="1:4" ht="16.5" customHeight="1">
      <c r="A1633" s="3"/>
      <c r="B1633" s="3"/>
      <c r="C1633" s="3"/>
      <c r="D1633" s="3"/>
    </row>
    <row r="1634" spans="1:4" ht="16.5" customHeight="1">
      <c r="A1634" s="3"/>
      <c r="B1634" s="3"/>
      <c r="C1634" s="3"/>
      <c r="D1634" s="3"/>
    </row>
    <row r="1635" spans="1:4" ht="16.5" customHeight="1">
      <c r="A1635" s="3"/>
      <c r="B1635" s="3"/>
      <c r="C1635" s="3"/>
      <c r="D1635" s="3"/>
    </row>
    <row r="1636" spans="1:4" ht="16.5" customHeight="1">
      <c r="A1636" s="3"/>
      <c r="B1636" s="3"/>
      <c r="C1636" s="3"/>
      <c r="D1636" s="3"/>
    </row>
    <row r="1637" spans="1:4" ht="16.5" customHeight="1">
      <c r="A1637" s="3"/>
      <c r="B1637" s="3"/>
      <c r="C1637" s="3"/>
      <c r="D1637" s="3"/>
    </row>
    <row r="1638" spans="1:4" ht="16.5" customHeight="1">
      <c r="A1638" s="3"/>
      <c r="B1638" s="3"/>
      <c r="C1638" s="3"/>
      <c r="D1638" s="3"/>
    </row>
    <row r="1639" spans="1:4" ht="16.5" customHeight="1">
      <c r="A1639" s="3"/>
      <c r="B1639" s="3"/>
      <c r="C1639" s="3"/>
      <c r="D1639" s="3"/>
    </row>
    <row r="1640" spans="1:4" ht="16.5" customHeight="1">
      <c r="A1640" s="3"/>
      <c r="B1640" s="3"/>
      <c r="C1640" s="3"/>
      <c r="D1640" s="3"/>
    </row>
    <row r="1641" spans="1:4" ht="16.5" customHeight="1">
      <c r="A1641" s="3"/>
      <c r="B1641" s="3"/>
      <c r="C1641" s="3"/>
      <c r="D1641" s="3"/>
    </row>
    <row r="1642" spans="1:4" ht="16.5" customHeight="1">
      <c r="A1642" s="3"/>
      <c r="B1642" s="3"/>
      <c r="C1642" s="3"/>
      <c r="D1642" s="3"/>
    </row>
    <row r="1643" spans="1:4" ht="16.5" customHeight="1">
      <c r="A1643" s="3"/>
      <c r="B1643" s="3"/>
      <c r="C1643" s="3"/>
      <c r="D1643" s="3"/>
    </row>
    <row r="1644" spans="1:4" ht="16.5" customHeight="1">
      <c r="A1644" s="3"/>
      <c r="B1644" s="3"/>
      <c r="C1644" s="3"/>
      <c r="D1644" s="3"/>
    </row>
    <row r="1645" spans="1:4" ht="16.5" customHeight="1">
      <c r="A1645" s="3"/>
      <c r="B1645" s="3"/>
      <c r="C1645" s="3"/>
      <c r="D1645" s="3"/>
    </row>
    <row r="1646" spans="1:4" ht="16.5" customHeight="1">
      <c r="A1646" s="3"/>
      <c r="B1646" s="3"/>
      <c r="C1646" s="3"/>
      <c r="D1646" s="3"/>
    </row>
    <row r="1647" spans="1:4" ht="16.5" customHeight="1">
      <c r="A1647" s="3"/>
      <c r="B1647" s="3"/>
      <c r="C1647" s="3"/>
      <c r="D1647" s="3"/>
    </row>
    <row r="1648" spans="1:4" ht="16.5" customHeight="1">
      <c r="A1648" s="3"/>
      <c r="B1648" s="3"/>
      <c r="C1648" s="3"/>
      <c r="D1648" s="3"/>
    </row>
    <row r="1649" spans="1:4" ht="16.5" customHeight="1">
      <c r="A1649" s="3"/>
      <c r="B1649" s="3"/>
      <c r="C1649" s="3"/>
      <c r="D1649" s="3"/>
    </row>
    <row r="1650" spans="1:4" ht="16.5" customHeight="1">
      <c r="A1650" s="3"/>
      <c r="B1650" s="3"/>
      <c r="C1650" s="3"/>
      <c r="D1650" s="3"/>
    </row>
    <row r="1651" spans="1:4" ht="16.5" customHeight="1">
      <c r="A1651" s="3"/>
      <c r="B1651" s="3"/>
      <c r="C1651" s="3"/>
      <c r="D1651" s="3"/>
    </row>
    <row r="1652" spans="1:4" ht="16.5" customHeight="1">
      <c r="A1652" s="3"/>
      <c r="B1652" s="3"/>
      <c r="C1652" s="3"/>
      <c r="D1652" s="3"/>
    </row>
    <row r="1653" spans="1:4" ht="16.5" customHeight="1">
      <c r="A1653" s="3"/>
      <c r="B1653" s="3"/>
      <c r="C1653" s="3"/>
      <c r="D1653" s="3"/>
    </row>
    <row r="1654" spans="1:4" ht="16.5" customHeight="1">
      <c r="A1654" s="3"/>
      <c r="B1654" s="3"/>
      <c r="C1654" s="3"/>
      <c r="D1654" s="3"/>
    </row>
    <row r="1655" spans="1:4" ht="16.5" customHeight="1">
      <c r="A1655" s="3"/>
      <c r="B1655" s="3"/>
      <c r="C1655" s="3"/>
      <c r="D1655" s="3"/>
    </row>
    <row r="1656" spans="1:4" ht="16.5" customHeight="1">
      <c r="A1656" s="3"/>
      <c r="B1656" s="3"/>
      <c r="C1656" s="3"/>
      <c r="D1656" s="3"/>
    </row>
    <row r="1657" spans="1:4" ht="16.5" customHeight="1">
      <c r="A1657" s="3"/>
      <c r="B1657" s="3"/>
      <c r="C1657" s="3"/>
      <c r="D1657" s="3"/>
    </row>
    <row r="1658" spans="1:4" ht="16.5" customHeight="1">
      <c r="A1658" s="3"/>
      <c r="B1658" s="3"/>
      <c r="C1658" s="3"/>
      <c r="D1658" s="3"/>
    </row>
    <row r="1659" spans="1:4" ht="16.5" customHeight="1">
      <c r="A1659" s="3"/>
      <c r="B1659" s="3"/>
      <c r="C1659" s="3"/>
      <c r="D1659" s="3"/>
    </row>
    <row r="1660" spans="1:4" ht="16.5" customHeight="1">
      <c r="A1660" s="3"/>
      <c r="B1660" s="3"/>
      <c r="C1660" s="3"/>
      <c r="D1660" s="3"/>
    </row>
    <row r="1661" spans="1:4" ht="16.5" customHeight="1">
      <c r="A1661" s="3"/>
      <c r="B1661" s="3"/>
      <c r="C1661" s="3"/>
      <c r="D1661" s="3"/>
    </row>
    <row r="1662" spans="1:4" ht="16.5" customHeight="1">
      <c r="A1662" s="3"/>
      <c r="B1662" s="3"/>
      <c r="C1662" s="3"/>
      <c r="D1662" s="3"/>
    </row>
    <row r="1663" spans="1:4" ht="16.5" customHeight="1">
      <c r="A1663" s="3"/>
      <c r="B1663" s="3"/>
      <c r="C1663" s="3"/>
      <c r="D1663" s="3"/>
    </row>
    <row r="1664" spans="1:4" ht="16.5" customHeight="1">
      <c r="A1664" s="3"/>
      <c r="B1664" s="3"/>
      <c r="C1664" s="3"/>
      <c r="D1664" s="3"/>
    </row>
    <row r="1665" spans="1:4" ht="16.5" customHeight="1">
      <c r="A1665" s="3"/>
      <c r="B1665" s="3"/>
      <c r="C1665" s="3"/>
      <c r="D1665" s="3"/>
    </row>
    <row r="1666" spans="1:4" ht="16.5" customHeight="1">
      <c r="A1666" s="3"/>
      <c r="B1666" s="3"/>
      <c r="C1666" s="3"/>
      <c r="D1666" s="3"/>
    </row>
    <row r="1667" spans="1:4" ht="16.5" customHeight="1">
      <c r="A1667" s="3"/>
      <c r="B1667" s="3"/>
      <c r="C1667" s="3"/>
      <c r="D1667" s="3"/>
    </row>
    <row r="1668" spans="1:4" ht="16.5" customHeight="1">
      <c r="A1668" s="3"/>
      <c r="B1668" s="3"/>
      <c r="C1668" s="3"/>
      <c r="D1668" s="3"/>
    </row>
    <row r="1669" spans="1:4" ht="16.5" customHeight="1">
      <c r="A1669" s="3"/>
      <c r="B1669" s="3"/>
      <c r="C1669" s="3"/>
      <c r="D1669" s="3"/>
    </row>
    <row r="1670" spans="1:4" ht="16.5" customHeight="1">
      <c r="A1670" s="3"/>
      <c r="B1670" s="3"/>
      <c r="C1670" s="3"/>
      <c r="D1670" s="3"/>
    </row>
    <row r="1671" spans="1:4" ht="16.5" customHeight="1">
      <c r="A1671" s="3"/>
      <c r="B1671" s="3"/>
      <c r="C1671" s="3"/>
      <c r="D1671" s="3"/>
    </row>
    <row r="1672" spans="1:4" ht="16.5" customHeight="1">
      <c r="A1672" s="3"/>
      <c r="B1672" s="3"/>
      <c r="C1672" s="3"/>
      <c r="D1672" s="3"/>
    </row>
    <row r="1673" spans="1:4" ht="16.5" customHeight="1">
      <c r="A1673" s="3"/>
      <c r="B1673" s="3"/>
      <c r="C1673" s="3"/>
      <c r="D1673" s="3"/>
    </row>
    <row r="1674" spans="1:4" ht="16.5" customHeight="1">
      <c r="A1674" s="3"/>
      <c r="B1674" s="3"/>
      <c r="C1674" s="3"/>
      <c r="D1674" s="3"/>
    </row>
    <row r="1675" spans="1:4" ht="16.5" customHeight="1">
      <c r="A1675" s="3"/>
      <c r="B1675" s="3"/>
      <c r="C1675" s="3"/>
      <c r="D1675" s="3"/>
    </row>
    <row r="1676" spans="1:4" ht="16.5" customHeight="1">
      <c r="A1676" s="3"/>
      <c r="B1676" s="3"/>
      <c r="C1676" s="3"/>
      <c r="D1676" s="3"/>
    </row>
    <row r="1677" spans="1:4" ht="16.5" customHeight="1">
      <c r="A1677" s="3"/>
      <c r="B1677" s="3"/>
      <c r="C1677" s="3"/>
      <c r="D1677" s="3"/>
    </row>
    <row r="1678" spans="1:4" ht="16.5" customHeight="1">
      <c r="A1678" s="3"/>
      <c r="B1678" s="3"/>
      <c r="C1678" s="3"/>
      <c r="D1678" s="3"/>
    </row>
    <row r="1679" spans="1:4" ht="16.5" customHeight="1">
      <c r="A1679" s="3"/>
      <c r="B1679" s="3"/>
      <c r="C1679" s="3"/>
      <c r="D1679" s="3"/>
    </row>
    <row r="1680" spans="1:4" ht="16.5" customHeight="1">
      <c r="A1680" s="3"/>
      <c r="B1680" s="3"/>
      <c r="C1680" s="3"/>
      <c r="D1680" s="3"/>
    </row>
    <row r="1681" spans="1:4" ht="16.5" customHeight="1">
      <c r="A1681" s="3"/>
      <c r="B1681" s="3"/>
      <c r="C1681" s="3"/>
      <c r="D1681" s="3"/>
    </row>
    <row r="1682" spans="1:4" ht="16.5" customHeight="1">
      <c r="A1682" s="3"/>
      <c r="B1682" s="3"/>
      <c r="C1682" s="3"/>
      <c r="D1682" s="3"/>
    </row>
    <row r="1683" spans="1:4" ht="16.5" customHeight="1">
      <c r="A1683" s="3"/>
      <c r="B1683" s="3"/>
      <c r="C1683" s="3"/>
      <c r="D1683" s="3"/>
    </row>
    <row r="1684" spans="1:4" ht="16.5" customHeight="1">
      <c r="A1684" s="3"/>
      <c r="B1684" s="3"/>
      <c r="C1684" s="3"/>
      <c r="D1684" s="3"/>
    </row>
    <row r="1685" spans="1:4" ht="16.5" customHeight="1">
      <c r="A1685" s="3"/>
      <c r="B1685" s="3"/>
      <c r="C1685" s="3"/>
      <c r="D1685" s="3"/>
    </row>
    <row r="1686" spans="1:4" ht="16.5" customHeight="1">
      <c r="A1686" s="3"/>
      <c r="B1686" s="3"/>
      <c r="C1686" s="3"/>
      <c r="D1686" s="3"/>
    </row>
    <row r="1687" spans="1:4" ht="16.5" customHeight="1">
      <c r="A1687" s="3"/>
      <c r="B1687" s="3"/>
      <c r="C1687" s="3"/>
      <c r="D1687" s="3"/>
    </row>
    <row r="1688" spans="1:4" ht="16.5" customHeight="1">
      <c r="A1688" s="3"/>
      <c r="B1688" s="3"/>
      <c r="C1688" s="3"/>
      <c r="D1688" s="3"/>
    </row>
    <row r="1689" spans="1:4" ht="16.5" customHeight="1">
      <c r="A1689" s="3"/>
      <c r="B1689" s="3"/>
      <c r="C1689" s="3"/>
      <c r="D1689" s="3"/>
    </row>
    <row r="1690" spans="1:4" ht="16.5" customHeight="1">
      <c r="A1690" s="3"/>
      <c r="B1690" s="3"/>
      <c r="C1690" s="3"/>
      <c r="D1690" s="3"/>
    </row>
    <row r="1691" spans="1:4" ht="16.5" customHeight="1">
      <c r="A1691" s="3"/>
      <c r="B1691" s="3"/>
      <c r="C1691" s="3"/>
      <c r="D1691" s="3"/>
    </row>
    <row r="1692" spans="1:4" ht="16.5" customHeight="1">
      <c r="A1692" s="3"/>
      <c r="B1692" s="3"/>
      <c r="C1692" s="3"/>
      <c r="D1692" s="3"/>
    </row>
    <row r="1693" spans="1:4" ht="16.5" customHeight="1">
      <c r="A1693" s="3"/>
      <c r="B1693" s="3"/>
      <c r="C1693" s="3"/>
      <c r="D1693" s="3"/>
    </row>
    <row r="1694" spans="1:4" ht="16.5" customHeight="1">
      <c r="A1694" s="3"/>
      <c r="B1694" s="3"/>
      <c r="C1694" s="3"/>
      <c r="D1694" s="3"/>
    </row>
    <row r="1695" spans="1:4" ht="16.5" customHeight="1">
      <c r="A1695" s="3"/>
      <c r="B1695" s="3"/>
      <c r="C1695" s="3"/>
      <c r="D1695" s="3"/>
    </row>
    <row r="1696" spans="1:4" ht="16.5" customHeight="1">
      <c r="A1696" s="3"/>
      <c r="B1696" s="3"/>
      <c r="C1696" s="3"/>
      <c r="D1696" s="3"/>
    </row>
    <row r="1697" spans="1:4" ht="16.5" customHeight="1">
      <c r="A1697" s="3"/>
      <c r="B1697" s="3"/>
      <c r="C1697" s="3"/>
      <c r="D1697" s="3"/>
    </row>
    <row r="1698" spans="1:4" ht="16.5" customHeight="1">
      <c r="A1698" s="3"/>
      <c r="B1698" s="3"/>
      <c r="C1698" s="3"/>
      <c r="D1698" s="3"/>
    </row>
    <row r="1699" spans="1:4" ht="16.5" customHeight="1">
      <c r="A1699" s="3"/>
      <c r="B1699" s="3"/>
      <c r="C1699" s="3"/>
      <c r="D1699" s="3"/>
    </row>
    <row r="1700" spans="1:4" ht="16.5" customHeight="1">
      <c r="A1700" s="3"/>
      <c r="B1700" s="3"/>
      <c r="C1700" s="3"/>
      <c r="D1700" s="3"/>
    </row>
    <row r="1701" spans="1:4" ht="16.5" customHeight="1">
      <c r="A1701" s="3"/>
      <c r="B1701" s="3"/>
      <c r="C1701" s="3"/>
      <c r="D1701" s="3"/>
    </row>
    <row r="1702" spans="1:4" ht="16.5" customHeight="1">
      <c r="A1702" s="3"/>
      <c r="B1702" s="3"/>
      <c r="C1702" s="3"/>
      <c r="D1702" s="3"/>
    </row>
    <row r="1703" spans="1:4" ht="16.5" customHeight="1">
      <c r="A1703" s="3"/>
      <c r="B1703" s="3"/>
      <c r="C1703" s="3"/>
      <c r="D1703" s="3"/>
    </row>
    <row r="1704" spans="1:4" ht="16.5" customHeight="1">
      <c r="A1704" s="3"/>
      <c r="B1704" s="3"/>
      <c r="C1704" s="3"/>
      <c r="D1704" s="3"/>
    </row>
    <row r="1705" spans="1:4" ht="16.5" customHeight="1">
      <c r="A1705" s="3"/>
      <c r="B1705" s="3"/>
      <c r="C1705" s="3"/>
      <c r="D1705" s="3"/>
    </row>
    <row r="1706" spans="1:4" ht="16.5" customHeight="1">
      <c r="A1706" s="3"/>
      <c r="B1706" s="3"/>
      <c r="C1706" s="3"/>
      <c r="D1706" s="3"/>
    </row>
    <row r="1707" spans="1:4" ht="16.5" customHeight="1">
      <c r="A1707" s="3"/>
      <c r="B1707" s="3"/>
      <c r="C1707" s="3"/>
      <c r="D1707" s="3"/>
    </row>
    <row r="1708" spans="1:4" ht="16.5" customHeight="1">
      <c r="A1708" s="3"/>
      <c r="B1708" s="3"/>
      <c r="C1708" s="3"/>
      <c r="D1708" s="3"/>
    </row>
    <row r="1709" spans="1:4" ht="16.5" customHeight="1">
      <c r="A1709" s="3"/>
      <c r="B1709" s="3"/>
      <c r="C1709" s="3"/>
      <c r="D1709" s="3"/>
    </row>
    <row r="1710" spans="1:4" ht="16.5" customHeight="1">
      <c r="A1710" s="3"/>
      <c r="B1710" s="3"/>
      <c r="C1710" s="3"/>
      <c r="D1710" s="3"/>
    </row>
    <row r="1711" spans="1:4" ht="16.5" customHeight="1">
      <c r="A1711" s="3"/>
      <c r="B1711" s="3"/>
      <c r="C1711" s="3"/>
      <c r="D1711" s="3"/>
    </row>
    <row r="1712" spans="1:4" ht="16.5" customHeight="1">
      <c r="A1712" s="3"/>
      <c r="B1712" s="3"/>
      <c r="C1712" s="3"/>
      <c r="D1712" s="3"/>
    </row>
    <row r="1713" spans="1:4" ht="16.5" customHeight="1">
      <c r="A1713" s="3"/>
      <c r="B1713" s="3"/>
      <c r="C1713" s="3"/>
      <c r="D1713" s="3"/>
    </row>
    <row r="1714" spans="1:4" ht="16.5" customHeight="1">
      <c r="A1714" s="3"/>
      <c r="B1714" s="3"/>
      <c r="C1714" s="3"/>
      <c r="D1714" s="3"/>
    </row>
    <row r="1715" spans="1:4" ht="16.5" customHeight="1">
      <c r="A1715" s="3"/>
      <c r="B1715" s="3"/>
      <c r="C1715" s="3"/>
      <c r="D1715" s="3"/>
    </row>
    <row r="1716" spans="1:4" ht="16.5" customHeight="1">
      <c r="A1716" s="3"/>
      <c r="B1716" s="3"/>
      <c r="C1716" s="3"/>
      <c r="D1716" s="3"/>
    </row>
    <row r="1717" spans="1:4" ht="16.5" customHeight="1">
      <c r="A1717" s="3"/>
      <c r="B1717" s="3"/>
      <c r="C1717" s="3"/>
      <c r="D1717" s="3"/>
    </row>
    <row r="1718" spans="1:4" ht="16.5" customHeight="1">
      <c r="A1718" s="3"/>
      <c r="B1718" s="3"/>
      <c r="C1718" s="3"/>
      <c r="D1718" s="3"/>
    </row>
    <row r="1719" spans="1:4" ht="16.5" customHeight="1">
      <c r="A1719" s="3"/>
      <c r="B1719" s="3"/>
      <c r="C1719" s="3"/>
      <c r="D1719" s="3"/>
    </row>
    <row r="1720" spans="1:4" ht="16.5" customHeight="1">
      <c r="A1720" s="3"/>
      <c r="B1720" s="3"/>
      <c r="C1720" s="3"/>
      <c r="D1720" s="3"/>
    </row>
    <row r="1721" spans="1:4" ht="16.5" customHeight="1">
      <c r="A1721" s="3"/>
      <c r="B1721" s="3"/>
      <c r="C1721" s="3"/>
      <c r="D1721" s="3"/>
    </row>
    <row r="1722" spans="1:4" ht="16.5" customHeight="1">
      <c r="A1722" s="3"/>
      <c r="B1722" s="3"/>
      <c r="C1722" s="3"/>
      <c r="D1722" s="3"/>
    </row>
    <row r="1723" spans="1:4" ht="16.5" customHeight="1">
      <c r="A1723" s="3"/>
      <c r="B1723" s="3"/>
      <c r="C1723" s="3"/>
      <c r="D1723" s="3"/>
    </row>
    <row r="1724" spans="1:4" ht="16.5" customHeight="1">
      <c r="A1724" s="3"/>
      <c r="B1724" s="3"/>
      <c r="C1724" s="3"/>
      <c r="D1724" s="3"/>
    </row>
    <row r="1725" spans="1:4" ht="16.5" customHeight="1">
      <c r="A1725" s="3"/>
      <c r="B1725" s="3"/>
      <c r="C1725" s="3"/>
      <c r="D1725" s="3"/>
    </row>
    <row r="1726" spans="1:4" ht="16.5" customHeight="1">
      <c r="A1726" s="3"/>
      <c r="B1726" s="3"/>
      <c r="C1726" s="3"/>
      <c r="D1726" s="3"/>
    </row>
    <row r="1727" spans="1:4" ht="16.5" customHeight="1">
      <c r="A1727" s="3"/>
      <c r="B1727" s="3"/>
      <c r="C1727" s="3"/>
      <c r="D1727" s="3"/>
    </row>
    <row r="1728" spans="1:4" ht="16.5" customHeight="1">
      <c r="A1728" s="3"/>
      <c r="B1728" s="3"/>
      <c r="C1728" s="3"/>
      <c r="D1728" s="3"/>
    </row>
    <row r="1729" spans="1:4" ht="16.5" customHeight="1">
      <c r="A1729" s="3"/>
      <c r="B1729" s="3"/>
      <c r="C1729" s="3"/>
      <c r="D1729" s="3"/>
    </row>
    <row r="1730" spans="1:4" ht="16.5" customHeight="1">
      <c r="A1730" s="3"/>
      <c r="B1730" s="3"/>
      <c r="C1730" s="3"/>
      <c r="D1730" s="3"/>
    </row>
    <row r="1731" spans="1:4" ht="16.5" customHeight="1">
      <c r="A1731" s="3"/>
      <c r="B1731" s="3"/>
      <c r="C1731" s="3"/>
      <c r="D1731" s="3"/>
    </row>
    <row r="1732" spans="1:4" ht="16.5" customHeight="1">
      <c r="A1732" s="3"/>
      <c r="B1732" s="3"/>
      <c r="C1732" s="3"/>
      <c r="D1732" s="3"/>
    </row>
    <row r="1733" spans="1:4" ht="16.5" customHeight="1">
      <c r="A1733" s="3"/>
      <c r="B1733" s="3"/>
      <c r="C1733" s="3"/>
      <c r="D1733" s="3"/>
    </row>
    <row r="1734" spans="1:4" ht="16.5" customHeight="1">
      <c r="A1734" s="3"/>
      <c r="B1734" s="3"/>
      <c r="C1734" s="3"/>
      <c r="D1734" s="3"/>
    </row>
    <row r="1735" spans="1:4" ht="16.5" customHeight="1">
      <c r="A1735" s="3"/>
      <c r="B1735" s="3"/>
      <c r="C1735" s="3"/>
      <c r="D1735" s="3"/>
    </row>
    <row r="1736" spans="1:4" ht="16.5" customHeight="1">
      <c r="A1736" s="3"/>
      <c r="B1736" s="3"/>
      <c r="C1736" s="3"/>
      <c r="D1736" s="3"/>
    </row>
    <row r="1737" spans="1:4" ht="16.5" customHeight="1">
      <c r="A1737" s="3"/>
      <c r="B1737" s="3"/>
      <c r="C1737" s="3"/>
      <c r="D1737" s="3"/>
    </row>
    <row r="1738" spans="1:4" ht="16.5" customHeight="1">
      <c r="A1738" s="3"/>
      <c r="B1738" s="3"/>
      <c r="C1738" s="3"/>
      <c r="D1738" s="3"/>
    </row>
    <row r="1739" spans="1:4" ht="16.5" customHeight="1">
      <c r="A1739" s="3"/>
      <c r="B1739" s="3"/>
      <c r="C1739" s="3"/>
      <c r="D1739" s="3"/>
    </row>
    <row r="1740" spans="1:4" ht="16.5" customHeight="1">
      <c r="A1740" s="3"/>
      <c r="B1740" s="3"/>
      <c r="C1740" s="3"/>
      <c r="D1740" s="3"/>
    </row>
    <row r="1741" spans="1:4" ht="16.5" customHeight="1">
      <c r="A1741" s="3"/>
      <c r="B1741" s="3"/>
      <c r="C1741" s="3"/>
      <c r="D1741" s="3"/>
    </row>
    <row r="1742" spans="1:4" ht="16.5" customHeight="1">
      <c r="A1742" s="3"/>
      <c r="B1742" s="3"/>
      <c r="C1742" s="3"/>
      <c r="D1742" s="3"/>
    </row>
    <row r="1743" spans="1:4" ht="16.5" customHeight="1">
      <c r="A1743" s="3"/>
      <c r="B1743" s="3"/>
      <c r="C1743" s="3"/>
      <c r="D1743" s="3"/>
    </row>
    <row r="1744" spans="1:4" ht="16.5" customHeight="1">
      <c r="A1744" s="3"/>
      <c r="B1744" s="3"/>
      <c r="C1744" s="3"/>
      <c r="D1744" s="3"/>
    </row>
    <row r="1745" spans="1:4" ht="16.5" customHeight="1">
      <c r="A1745" s="3"/>
      <c r="B1745" s="3"/>
      <c r="C1745" s="3"/>
      <c r="D1745" s="3"/>
    </row>
    <row r="1746" spans="1:4" ht="16.5" customHeight="1">
      <c r="A1746" s="3"/>
      <c r="B1746" s="3"/>
      <c r="C1746" s="3"/>
      <c r="D1746" s="3"/>
    </row>
    <row r="1747" spans="1:4" ht="16.5" customHeight="1">
      <c r="A1747" s="3"/>
      <c r="B1747" s="3"/>
      <c r="C1747" s="3"/>
      <c r="D1747" s="3"/>
    </row>
    <row r="1748" spans="1:4" ht="16.5" customHeight="1">
      <c r="A1748" s="3"/>
      <c r="B1748" s="3"/>
      <c r="C1748" s="3"/>
      <c r="D1748" s="3"/>
    </row>
    <row r="1749" spans="1:4" ht="16.5" customHeight="1">
      <c r="A1749" s="3"/>
      <c r="B1749" s="3"/>
      <c r="C1749" s="3"/>
      <c r="D1749" s="3"/>
    </row>
    <row r="1750" spans="1:4" ht="16.5" customHeight="1">
      <c r="A1750" s="3"/>
      <c r="B1750" s="3"/>
      <c r="C1750" s="3"/>
      <c r="D1750" s="3"/>
    </row>
    <row r="1751" spans="1:4" ht="16.5" customHeight="1">
      <c r="A1751" s="3"/>
      <c r="B1751" s="3"/>
      <c r="C1751" s="3"/>
      <c r="D1751" s="3"/>
    </row>
    <row r="1752" spans="1:4" ht="16.5" customHeight="1">
      <c r="A1752" s="3"/>
      <c r="B1752" s="3"/>
      <c r="C1752" s="3"/>
      <c r="D1752" s="3"/>
    </row>
    <row r="1753" spans="1:4" ht="16.5" customHeight="1">
      <c r="A1753" s="3"/>
      <c r="B1753" s="3"/>
      <c r="C1753" s="3"/>
      <c r="D1753" s="3"/>
    </row>
    <row r="1754" spans="1:4" ht="16.5" customHeight="1">
      <c r="A1754" s="3"/>
      <c r="B1754" s="3"/>
      <c r="C1754" s="3"/>
      <c r="D1754" s="3"/>
    </row>
    <row r="1755" spans="1:4" ht="16.5" customHeight="1">
      <c r="A1755" s="3"/>
      <c r="B1755" s="3"/>
      <c r="C1755" s="3"/>
      <c r="D1755" s="3"/>
    </row>
    <row r="1756" spans="1:4" ht="16.5" customHeight="1">
      <c r="A1756" s="3"/>
      <c r="B1756" s="3"/>
      <c r="C1756" s="3"/>
      <c r="D1756" s="3"/>
    </row>
    <row r="1757" spans="1:4" ht="16.5" customHeight="1">
      <c r="A1757" s="3"/>
      <c r="B1757" s="3"/>
      <c r="C1757" s="3"/>
      <c r="D1757" s="3"/>
    </row>
    <row r="1758" spans="1:4" ht="16.5" customHeight="1">
      <c r="A1758" s="3"/>
      <c r="B1758" s="3"/>
      <c r="C1758" s="3"/>
      <c r="D1758" s="3"/>
    </row>
    <row r="1759" spans="1:4" ht="16.5" customHeight="1">
      <c r="A1759" s="3"/>
      <c r="B1759" s="3"/>
      <c r="C1759" s="3"/>
      <c r="D1759" s="3"/>
    </row>
    <row r="1760" spans="1:4" ht="16.5" customHeight="1">
      <c r="A1760" s="3"/>
      <c r="B1760" s="3"/>
      <c r="C1760" s="3"/>
      <c r="D1760" s="3"/>
    </row>
    <row r="1761" spans="1:4" ht="16.5" customHeight="1">
      <c r="A1761" s="3"/>
      <c r="B1761" s="3"/>
      <c r="C1761" s="3"/>
      <c r="D1761" s="3"/>
    </row>
    <row r="1762" spans="1:4" ht="16.5" customHeight="1">
      <c r="A1762" s="3"/>
      <c r="B1762" s="3"/>
      <c r="C1762" s="3"/>
      <c r="D1762" s="3"/>
    </row>
    <row r="1763" spans="1:4" ht="16.5" customHeight="1">
      <c r="A1763" s="3"/>
      <c r="B1763" s="3"/>
      <c r="C1763" s="3"/>
      <c r="D1763" s="3"/>
    </row>
    <row r="1764" spans="1:4" ht="16.5" customHeight="1">
      <c r="A1764" s="3"/>
      <c r="B1764" s="3"/>
      <c r="C1764" s="3"/>
      <c r="D1764" s="3"/>
    </row>
    <row r="1765" spans="1:4" ht="16.5" customHeight="1">
      <c r="A1765" s="3"/>
      <c r="B1765" s="3"/>
      <c r="C1765" s="3"/>
      <c r="D1765" s="3"/>
    </row>
    <row r="1766" spans="1:4" ht="16.5" customHeight="1">
      <c r="A1766" s="3"/>
      <c r="B1766" s="3"/>
      <c r="C1766" s="3"/>
      <c r="D1766" s="3"/>
    </row>
    <row r="1767" spans="1:4" ht="16.5" customHeight="1">
      <c r="A1767" s="3"/>
      <c r="B1767" s="3"/>
      <c r="C1767" s="3"/>
      <c r="D1767" s="3"/>
    </row>
    <row r="1768" spans="1:4" ht="16.5" customHeight="1">
      <c r="A1768" s="3"/>
      <c r="B1768" s="3"/>
      <c r="C1768" s="3"/>
      <c r="D1768" s="3"/>
    </row>
    <row r="1769" spans="1:4" ht="16.5" customHeight="1">
      <c r="A1769" s="3"/>
      <c r="B1769" s="3"/>
      <c r="C1769" s="3"/>
      <c r="D1769" s="3"/>
    </row>
    <row r="1770" spans="1:4" ht="16.5" customHeight="1">
      <c r="A1770" s="3"/>
      <c r="B1770" s="3"/>
      <c r="C1770" s="3"/>
      <c r="D1770" s="3"/>
    </row>
    <row r="1771" spans="1:4" ht="16.5" customHeight="1">
      <c r="A1771" s="3"/>
      <c r="B1771" s="3"/>
      <c r="C1771" s="3"/>
      <c r="D1771" s="3"/>
    </row>
    <row r="1772" spans="1:4" ht="16.5" customHeight="1">
      <c r="A1772" s="3"/>
      <c r="B1772" s="3"/>
      <c r="C1772" s="3"/>
      <c r="D1772" s="3"/>
    </row>
    <row r="1773" spans="1:4" ht="16.5" customHeight="1">
      <c r="A1773" s="3"/>
      <c r="B1773" s="3"/>
      <c r="C1773" s="3"/>
      <c r="D1773" s="3"/>
    </row>
    <row r="1774" spans="1:4" ht="16.5" customHeight="1">
      <c r="A1774" s="3"/>
      <c r="B1774" s="3"/>
      <c r="C1774" s="3"/>
      <c r="D1774" s="3"/>
    </row>
    <row r="1775" spans="1:4" ht="16.5" customHeight="1">
      <c r="A1775" s="3"/>
      <c r="B1775" s="3"/>
      <c r="C1775" s="3"/>
      <c r="D1775" s="3"/>
    </row>
    <row r="1776" spans="1:4" ht="16.5" customHeight="1">
      <c r="A1776" s="3"/>
      <c r="B1776" s="3"/>
      <c r="C1776" s="3"/>
      <c r="D1776" s="3"/>
    </row>
    <row r="1777" spans="1:4" ht="16.5" customHeight="1">
      <c r="A1777" s="3"/>
      <c r="B1777" s="3"/>
      <c r="C1777" s="3"/>
      <c r="D1777" s="3"/>
    </row>
    <row r="1778" spans="1:4" ht="16.5" customHeight="1">
      <c r="A1778" s="3"/>
      <c r="B1778" s="3"/>
      <c r="C1778" s="3"/>
      <c r="D1778" s="3"/>
    </row>
    <row r="1779" spans="1:4" ht="16.5" customHeight="1">
      <c r="A1779" s="3"/>
      <c r="B1779" s="3"/>
      <c r="C1779" s="3"/>
      <c r="D1779" s="3"/>
    </row>
    <row r="1780" spans="1:4" ht="16.5" customHeight="1">
      <c r="A1780" s="3"/>
      <c r="B1780" s="3"/>
      <c r="C1780" s="3"/>
      <c r="D1780" s="3"/>
    </row>
    <row r="1781" spans="1:4" ht="16.5" customHeight="1">
      <c r="A1781" s="3"/>
      <c r="B1781" s="3"/>
      <c r="C1781" s="3"/>
      <c r="D1781" s="3"/>
    </row>
    <row r="1782" spans="1:4" ht="16.5" customHeight="1">
      <c r="A1782" s="3"/>
      <c r="B1782" s="3"/>
      <c r="C1782" s="3"/>
      <c r="D1782" s="3"/>
    </row>
    <row r="1783" spans="1:4" ht="16.5" customHeight="1">
      <c r="A1783" s="3"/>
      <c r="B1783" s="3"/>
      <c r="C1783" s="3"/>
      <c r="D1783" s="3"/>
    </row>
    <row r="1784" spans="1:4" ht="16.5" customHeight="1">
      <c r="A1784" s="3"/>
      <c r="B1784" s="3"/>
      <c r="C1784" s="3"/>
      <c r="D1784" s="3"/>
    </row>
    <row r="1785" spans="1:4" ht="16.5" customHeight="1">
      <c r="A1785" s="3"/>
      <c r="B1785" s="3"/>
      <c r="C1785" s="3"/>
      <c r="D1785" s="3"/>
    </row>
    <row r="1786" spans="1:4" ht="16.5" customHeight="1">
      <c r="A1786" s="3"/>
      <c r="B1786" s="3"/>
      <c r="C1786" s="3"/>
      <c r="D1786" s="3"/>
    </row>
    <row r="1787" spans="1:4" ht="16.5" customHeight="1">
      <c r="A1787" s="3"/>
      <c r="B1787" s="3"/>
      <c r="C1787" s="3"/>
      <c r="D1787" s="3"/>
    </row>
    <row r="1788" spans="1:4" ht="16.5" customHeight="1">
      <c r="A1788" s="3"/>
      <c r="B1788" s="3"/>
      <c r="C1788" s="3"/>
      <c r="D1788" s="3"/>
    </row>
    <row r="1789" spans="1:4" ht="16.5" customHeight="1">
      <c r="A1789" s="3"/>
      <c r="B1789" s="3"/>
      <c r="C1789" s="3"/>
      <c r="D1789" s="3"/>
    </row>
    <row r="1790" spans="1:4" ht="16.5" customHeight="1">
      <c r="A1790" s="3"/>
      <c r="B1790" s="3"/>
      <c r="C1790" s="3"/>
      <c r="D1790" s="3"/>
    </row>
    <row r="1791" spans="1:4" ht="16.5" customHeight="1">
      <c r="A1791" s="3"/>
      <c r="B1791" s="3"/>
      <c r="C1791" s="3"/>
      <c r="D1791" s="3"/>
    </row>
    <row r="1792" spans="1:4" ht="16.5" customHeight="1">
      <c r="A1792" s="3"/>
      <c r="B1792" s="3"/>
      <c r="C1792" s="3"/>
      <c r="D1792" s="3"/>
    </row>
    <row r="1793" spans="1:4" ht="16.5" customHeight="1">
      <c r="A1793" s="3"/>
      <c r="B1793" s="3"/>
      <c r="C1793" s="3"/>
      <c r="D1793" s="3"/>
    </row>
    <row r="1794" spans="1:4" ht="16.5" customHeight="1">
      <c r="A1794" s="3"/>
      <c r="B1794" s="3"/>
      <c r="C1794" s="3"/>
      <c r="D1794" s="3"/>
    </row>
    <row r="1795" spans="1:4" ht="16.5" customHeight="1">
      <c r="A1795" s="3"/>
      <c r="B1795" s="3"/>
      <c r="C1795" s="3"/>
      <c r="D1795" s="3"/>
    </row>
    <row r="1796" spans="1:4" ht="16.5" customHeight="1">
      <c r="A1796" s="3"/>
      <c r="B1796" s="3"/>
      <c r="C1796" s="3"/>
      <c r="D1796" s="3"/>
    </row>
    <row r="1797" spans="1:4" ht="16.5" customHeight="1">
      <c r="A1797" s="3"/>
      <c r="B1797" s="3"/>
      <c r="C1797" s="3"/>
      <c r="D1797" s="3"/>
    </row>
    <row r="1798" spans="1:4" ht="16.5" customHeight="1">
      <c r="A1798" s="3"/>
      <c r="B1798" s="3"/>
      <c r="C1798" s="3"/>
      <c r="D1798" s="3"/>
    </row>
    <row r="1799" spans="1:4" ht="16.5" customHeight="1">
      <c r="A1799" s="3"/>
      <c r="B1799" s="3"/>
      <c r="C1799" s="3"/>
      <c r="D1799" s="3"/>
    </row>
    <row r="1800" spans="1:4" ht="16.5" customHeight="1">
      <c r="A1800" s="3"/>
      <c r="B1800" s="3"/>
      <c r="C1800" s="3"/>
      <c r="D1800" s="3"/>
    </row>
    <row r="1801" spans="1:4" ht="16.5" customHeight="1">
      <c r="A1801" s="3"/>
      <c r="B1801" s="3"/>
      <c r="C1801" s="3"/>
      <c r="D1801" s="3"/>
    </row>
    <row r="1802" spans="1:4" ht="16.5" customHeight="1">
      <c r="A1802" s="3"/>
      <c r="B1802" s="3"/>
      <c r="C1802" s="3"/>
      <c r="D1802" s="3"/>
    </row>
    <row r="1803" spans="1:4" ht="16.5" customHeight="1">
      <c r="A1803" s="3"/>
      <c r="B1803" s="3"/>
      <c r="C1803" s="3"/>
      <c r="D1803" s="3"/>
    </row>
    <row r="1804" spans="1:4" ht="16.5" customHeight="1">
      <c r="A1804" s="3"/>
      <c r="B1804" s="3"/>
      <c r="C1804" s="3"/>
      <c r="D1804" s="3"/>
    </row>
    <row r="1805" spans="1:4" ht="16.5" customHeight="1">
      <c r="A1805" s="3"/>
      <c r="B1805" s="3"/>
      <c r="C1805" s="3"/>
      <c r="D1805" s="3"/>
    </row>
    <row r="1806" spans="1:4" ht="16.5" customHeight="1">
      <c r="A1806" s="3"/>
      <c r="B1806" s="3"/>
      <c r="C1806" s="3"/>
      <c r="D1806" s="3"/>
    </row>
    <row r="1807" spans="1:4" ht="16.5" customHeight="1">
      <c r="A1807" s="3"/>
      <c r="B1807" s="3"/>
      <c r="C1807" s="3"/>
      <c r="D1807" s="3"/>
    </row>
    <row r="1808" spans="1:4" ht="16.5" customHeight="1">
      <c r="A1808" s="3"/>
      <c r="B1808" s="3"/>
      <c r="C1808" s="3"/>
      <c r="D1808" s="3"/>
    </row>
    <row r="1809" spans="1:4" ht="16.5" customHeight="1">
      <c r="A1809" s="3"/>
      <c r="B1809" s="3"/>
      <c r="C1809" s="3"/>
      <c r="D1809" s="3"/>
    </row>
    <row r="1810" spans="1:4" ht="16.5" customHeight="1">
      <c r="A1810" s="3"/>
      <c r="B1810" s="3"/>
      <c r="C1810" s="3"/>
      <c r="D1810" s="3"/>
    </row>
    <row r="1811" spans="1:4" ht="16.5" customHeight="1">
      <c r="A1811" s="3"/>
      <c r="B1811" s="3"/>
      <c r="C1811" s="3"/>
      <c r="D1811" s="3"/>
    </row>
    <row r="1812" spans="1:4" ht="16.5" customHeight="1">
      <c r="A1812" s="3"/>
      <c r="B1812" s="3"/>
      <c r="C1812" s="3"/>
      <c r="D1812" s="3"/>
    </row>
    <row r="1813" spans="1:4" ht="16.5" customHeight="1">
      <c r="A1813" s="3"/>
      <c r="B1813" s="3"/>
      <c r="C1813" s="3"/>
      <c r="D1813" s="3"/>
    </row>
    <row r="1814" spans="1:4" ht="16.5" customHeight="1">
      <c r="A1814" s="3"/>
      <c r="B1814" s="3"/>
      <c r="C1814" s="3"/>
      <c r="D1814" s="3"/>
    </row>
    <row r="1815" spans="1:4" ht="16.5" customHeight="1">
      <c r="A1815" s="3"/>
      <c r="B1815" s="3"/>
      <c r="C1815" s="3"/>
      <c r="D1815" s="3"/>
    </row>
    <row r="1816" spans="1:4" ht="16.5" customHeight="1">
      <c r="A1816" s="3"/>
      <c r="B1816" s="3"/>
      <c r="C1816" s="3"/>
      <c r="D1816" s="3"/>
    </row>
    <row r="1817" spans="1:4" ht="16.5" customHeight="1">
      <c r="A1817" s="3"/>
      <c r="B1817" s="3"/>
      <c r="C1817" s="3"/>
      <c r="D1817" s="3"/>
    </row>
    <row r="1818" spans="1:4" ht="16.5" customHeight="1">
      <c r="A1818" s="3"/>
      <c r="B1818" s="3"/>
      <c r="C1818" s="3"/>
      <c r="D1818" s="3"/>
    </row>
    <row r="1819" spans="1:4" ht="16.5" customHeight="1">
      <c r="A1819" s="3"/>
      <c r="B1819" s="3"/>
      <c r="C1819" s="3"/>
      <c r="D1819" s="3"/>
    </row>
    <row r="1820" spans="1:4" ht="16.5" customHeight="1">
      <c r="A1820" s="3"/>
      <c r="B1820" s="3"/>
      <c r="C1820" s="3"/>
      <c r="D1820" s="3"/>
    </row>
    <row r="1821" spans="1:4" ht="16.5" customHeight="1">
      <c r="A1821" s="3"/>
      <c r="B1821" s="3"/>
      <c r="C1821" s="3"/>
      <c r="D1821" s="3"/>
    </row>
    <row r="1822" spans="1:4" ht="16.5" customHeight="1">
      <c r="A1822" s="3"/>
      <c r="B1822" s="3"/>
      <c r="C1822" s="3"/>
      <c r="D1822" s="3"/>
    </row>
    <row r="1823" spans="1:4" ht="16.5" customHeight="1">
      <c r="A1823" s="3"/>
      <c r="B1823" s="3"/>
      <c r="C1823" s="3"/>
      <c r="D1823" s="3"/>
    </row>
    <row r="1824" spans="1:4" ht="16.5" customHeight="1">
      <c r="A1824" s="3"/>
      <c r="B1824" s="3"/>
      <c r="C1824" s="3"/>
      <c r="D1824" s="3"/>
    </row>
    <row r="1825" spans="1:4" ht="16.5" customHeight="1">
      <c r="A1825" s="3"/>
      <c r="B1825" s="3"/>
      <c r="C1825" s="3"/>
      <c r="D1825" s="3"/>
    </row>
    <row r="1826" spans="1:4" ht="16.5" customHeight="1">
      <c r="A1826" s="3"/>
      <c r="B1826" s="3"/>
      <c r="C1826" s="3"/>
      <c r="D1826" s="3"/>
    </row>
    <row r="1827" spans="1:4" ht="16.5" customHeight="1">
      <c r="A1827" s="3"/>
      <c r="B1827" s="3"/>
      <c r="C1827" s="3"/>
      <c r="D1827" s="3"/>
    </row>
    <row r="1828" spans="1:4" ht="16.5" customHeight="1">
      <c r="A1828" s="3"/>
      <c r="B1828" s="3"/>
      <c r="C1828" s="3"/>
      <c r="D1828" s="3"/>
    </row>
    <row r="1829" spans="1:4" ht="16.5" customHeight="1">
      <c r="A1829" s="3"/>
      <c r="B1829" s="3"/>
      <c r="C1829" s="3"/>
      <c r="D1829" s="3"/>
    </row>
    <row r="1830" spans="1:4" ht="16.5" customHeight="1">
      <c r="A1830" s="3"/>
      <c r="B1830" s="3"/>
      <c r="C1830" s="3"/>
      <c r="D1830" s="3"/>
    </row>
    <row r="1831" spans="1:4" ht="16.5" customHeight="1">
      <c r="A1831" s="3"/>
      <c r="B1831" s="3"/>
      <c r="C1831" s="3"/>
      <c r="D1831" s="3"/>
    </row>
    <row r="1832" spans="1:4" ht="16.5" customHeight="1">
      <c r="A1832" s="3"/>
      <c r="B1832" s="3"/>
      <c r="C1832" s="3"/>
      <c r="D1832" s="3"/>
    </row>
    <row r="1833" spans="1:4" ht="16.5" customHeight="1">
      <c r="A1833" s="3"/>
      <c r="B1833" s="3"/>
      <c r="C1833" s="3"/>
      <c r="D1833" s="3"/>
    </row>
    <row r="1834" spans="1:4" ht="16.5" customHeight="1">
      <c r="A1834" s="3"/>
      <c r="B1834" s="3"/>
      <c r="C1834" s="3"/>
      <c r="D1834" s="3"/>
    </row>
    <row r="1835" spans="1:4" ht="16.5" customHeight="1">
      <c r="A1835" s="3"/>
      <c r="B1835" s="3"/>
      <c r="C1835" s="3"/>
      <c r="D1835" s="3"/>
    </row>
    <row r="1836" spans="1:4" ht="16.5" customHeight="1">
      <c r="A1836" s="3"/>
      <c r="B1836" s="3"/>
      <c r="C1836" s="3"/>
      <c r="D1836" s="3"/>
    </row>
    <row r="1837" spans="1:4" ht="16.5" customHeight="1">
      <c r="A1837" s="3"/>
      <c r="B1837" s="3"/>
      <c r="C1837" s="3"/>
      <c r="D1837" s="3"/>
    </row>
    <row r="1838" spans="1:4" ht="16.5" customHeight="1">
      <c r="A1838" s="3"/>
      <c r="B1838" s="3"/>
      <c r="C1838" s="3"/>
      <c r="D1838" s="3"/>
    </row>
    <row r="1839" spans="1:4" ht="16.5" customHeight="1">
      <c r="A1839" s="3"/>
      <c r="B1839" s="3"/>
      <c r="C1839" s="3"/>
      <c r="D1839" s="3"/>
    </row>
    <row r="1840" spans="1:4" ht="16.5" customHeight="1">
      <c r="A1840" s="3"/>
      <c r="B1840" s="3"/>
      <c r="C1840" s="3"/>
      <c r="D1840" s="3"/>
    </row>
    <row r="1841" spans="1:4" ht="16.5" customHeight="1">
      <c r="A1841" s="3"/>
      <c r="B1841" s="3"/>
      <c r="C1841" s="3"/>
      <c r="D1841" s="3"/>
    </row>
    <row r="1842" spans="1:4" ht="16.5" customHeight="1">
      <c r="A1842" s="3"/>
      <c r="B1842" s="3"/>
      <c r="C1842" s="3"/>
      <c r="D1842" s="3"/>
    </row>
    <row r="1843" spans="1:4" ht="16.5" customHeight="1">
      <c r="A1843" s="3"/>
      <c r="B1843" s="3"/>
      <c r="C1843" s="3"/>
      <c r="D1843" s="3"/>
    </row>
    <row r="1844" spans="1:4" ht="16.5" customHeight="1">
      <c r="A1844" s="3"/>
      <c r="B1844" s="3"/>
      <c r="C1844" s="3"/>
      <c r="D1844" s="3"/>
    </row>
    <row r="1845" spans="1:4" ht="16.5" customHeight="1">
      <c r="A1845" s="3"/>
      <c r="B1845" s="3"/>
      <c r="C1845" s="3"/>
      <c r="D1845" s="3"/>
    </row>
    <row r="1846" spans="1:4" ht="16.5" customHeight="1">
      <c r="A1846" s="3"/>
      <c r="B1846" s="3"/>
      <c r="C1846" s="3"/>
      <c r="D1846" s="3"/>
    </row>
    <row r="1847" spans="1:4" ht="16.5" customHeight="1">
      <c r="A1847" s="3"/>
      <c r="B1847" s="3"/>
      <c r="C1847" s="3"/>
      <c r="D1847" s="3"/>
    </row>
    <row r="1848" spans="1:4" ht="16.5" customHeight="1">
      <c r="A1848" s="3"/>
      <c r="B1848" s="3"/>
      <c r="C1848" s="3"/>
      <c r="D1848" s="3"/>
    </row>
    <row r="1849" spans="1:4" ht="16.5" customHeight="1">
      <c r="A1849" s="3"/>
      <c r="B1849" s="3"/>
      <c r="C1849" s="3"/>
      <c r="D1849" s="3"/>
    </row>
    <row r="1850" spans="1:4" ht="16.5" customHeight="1">
      <c r="A1850" s="3"/>
      <c r="B1850" s="3"/>
      <c r="C1850" s="3"/>
      <c r="D1850" s="3"/>
    </row>
    <row r="1851" spans="1:4" ht="16.5" customHeight="1">
      <c r="A1851" s="3"/>
      <c r="B1851" s="3"/>
      <c r="C1851" s="3"/>
      <c r="D1851" s="3"/>
    </row>
    <row r="1852" spans="1:4" ht="16.5" customHeight="1">
      <c r="A1852" s="3"/>
      <c r="B1852" s="3"/>
      <c r="C1852" s="3"/>
      <c r="D1852" s="3"/>
    </row>
    <row r="1853" spans="1:4" ht="16.5" customHeight="1">
      <c r="A1853" s="3"/>
      <c r="B1853" s="3"/>
      <c r="C1853" s="3"/>
      <c r="D1853" s="3"/>
    </row>
    <row r="1854" spans="1:4" ht="16.5" customHeight="1">
      <c r="A1854" s="3"/>
      <c r="B1854" s="3"/>
      <c r="C1854" s="3"/>
      <c r="D1854" s="3"/>
    </row>
    <row r="1855" spans="1:4" ht="16.5" customHeight="1">
      <c r="A1855" s="3"/>
      <c r="B1855" s="3"/>
      <c r="C1855" s="3"/>
      <c r="D1855" s="3"/>
    </row>
    <row r="1856" spans="1:4" ht="16.5" customHeight="1">
      <c r="A1856" s="3"/>
      <c r="B1856" s="3"/>
      <c r="C1856" s="3"/>
      <c r="D1856" s="3"/>
    </row>
    <row r="1857" spans="1:4" ht="16.5" customHeight="1">
      <c r="A1857" s="3"/>
      <c r="B1857" s="3"/>
      <c r="C1857" s="3"/>
      <c r="D1857" s="3"/>
    </row>
    <row r="1858" spans="1:4" ht="16.5" customHeight="1">
      <c r="A1858" s="3"/>
      <c r="B1858" s="3"/>
      <c r="C1858" s="3"/>
      <c r="D1858" s="3"/>
    </row>
    <row r="1859" spans="1:4" ht="16.5" customHeight="1">
      <c r="A1859" s="3"/>
      <c r="B1859" s="3"/>
      <c r="C1859" s="3"/>
      <c r="D1859" s="3"/>
    </row>
    <row r="1860" spans="1:4" ht="16.5" customHeight="1">
      <c r="A1860" s="3"/>
      <c r="B1860" s="3"/>
      <c r="C1860" s="3"/>
      <c r="D1860" s="3"/>
    </row>
    <row r="1861" spans="1:4" ht="16.5" customHeight="1">
      <c r="A1861" s="3"/>
      <c r="B1861" s="3"/>
      <c r="C1861" s="3"/>
      <c r="D1861" s="3"/>
    </row>
    <row r="1862" spans="1:4" ht="16.5" customHeight="1">
      <c r="A1862" s="3"/>
      <c r="B1862" s="3"/>
      <c r="C1862" s="3"/>
      <c r="D1862" s="3"/>
    </row>
    <row r="1863" spans="1:4" ht="16.5" customHeight="1">
      <c r="A1863" s="3"/>
      <c r="B1863" s="3"/>
      <c r="C1863" s="3"/>
      <c r="D1863" s="3"/>
    </row>
    <row r="1864" spans="1:4" ht="16.5" customHeight="1">
      <c r="A1864" s="3"/>
      <c r="B1864" s="3"/>
      <c r="C1864" s="3"/>
      <c r="D1864" s="3"/>
    </row>
    <row r="1865" spans="1:4" ht="16.5" customHeight="1">
      <c r="A1865" s="3"/>
      <c r="B1865" s="3"/>
      <c r="C1865" s="3"/>
      <c r="D1865" s="3"/>
    </row>
    <row r="1866" spans="1:4" ht="16.5" customHeight="1">
      <c r="A1866" s="3"/>
      <c r="B1866" s="3"/>
      <c r="C1866" s="3"/>
      <c r="D1866" s="3"/>
    </row>
    <row r="1867" spans="1:4" ht="16.5" customHeight="1">
      <c r="A1867" s="3"/>
      <c r="B1867" s="3"/>
      <c r="C1867" s="3"/>
      <c r="D1867" s="3"/>
    </row>
    <row r="1868" spans="1:4" ht="16.5" customHeight="1">
      <c r="A1868" s="3"/>
      <c r="B1868" s="3"/>
      <c r="C1868" s="3"/>
      <c r="D1868" s="3"/>
    </row>
    <row r="1869" spans="1:4" ht="16.5" customHeight="1">
      <c r="A1869" s="3"/>
      <c r="B1869" s="3"/>
      <c r="C1869" s="3"/>
      <c r="D1869" s="3"/>
    </row>
    <row r="1870" spans="1:4" ht="16.5" customHeight="1">
      <c r="A1870" s="3"/>
      <c r="B1870" s="3"/>
      <c r="C1870" s="3"/>
      <c r="D1870" s="3"/>
    </row>
    <row r="1871" spans="1:4" ht="16.5" customHeight="1">
      <c r="A1871" s="3"/>
      <c r="B1871" s="3"/>
      <c r="C1871" s="3"/>
      <c r="D1871" s="3"/>
    </row>
    <row r="1872" spans="1:4" ht="16.5" customHeight="1">
      <c r="A1872" s="3"/>
      <c r="B1872" s="3"/>
      <c r="C1872" s="3"/>
      <c r="D1872" s="3"/>
    </row>
    <row r="1873" spans="1:4" ht="16.5" customHeight="1">
      <c r="A1873" s="3"/>
      <c r="B1873" s="3"/>
      <c r="C1873" s="3"/>
      <c r="D1873" s="3"/>
    </row>
    <row r="1874" spans="1:4" ht="16.5" customHeight="1">
      <c r="A1874" s="3"/>
      <c r="B1874" s="3"/>
      <c r="C1874" s="3"/>
      <c r="D1874" s="3"/>
    </row>
    <row r="1875" spans="1:4" ht="16.5" customHeight="1">
      <c r="A1875" s="3"/>
      <c r="B1875" s="3"/>
      <c r="C1875" s="3"/>
      <c r="D1875" s="3"/>
    </row>
    <row r="1876" spans="1:4" ht="16.5" customHeight="1">
      <c r="A1876" s="3"/>
      <c r="B1876" s="3"/>
      <c r="C1876" s="3"/>
      <c r="D1876" s="3"/>
    </row>
    <row r="1877" spans="1:4" ht="16.5" customHeight="1">
      <c r="A1877" s="3"/>
      <c r="B1877" s="3"/>
      <c r="C1877" s="3"/>
      <c r="D1877" s="3"/>
    </row>
    <row r="1878" spans="1:4" ht="16.5" customHeight="1">
      <c r="A1878" s="3"/>
      <c r="B1878" s="3"/>
      <c r="C1878" s="3"/>
      <c r="D1878" s="3"/>
    </row>
    <row r="1879" spans="1:4" ht="16.5" customHeight="1">
      <c r="A1879" s="3"/>
      <c r="B1879" s="3"/>
      <c r="C1879" s="3"/>
      <c r="D1879" s="3"/>
    </row>
    <row r="1880" spans="1:4" ht="16.5" customHeight="1">
      <c r="A1880" s="3"/>
      <c r="B1880" s="3"/>
      <c r="C1880" s="3"/>
      <c r="D1880" s="3"/>
    </row>
    <row r="1881" spans="1:4" ht="16.5" customHeight="1">
      <c r="A1881" s="3"/>
      <c r="B1881" s="3"/>
      <c r="C1881" s="3"/>
      <c r="D1881" s="3"/>
    </row>
    <row r="1882" spans="1:4" ht="16.5" customHeight="1">
      <c r="A1882" s="3"/>
      <c r="B1882" s="3"/>
      <c r="C1882" s="3"/>
      <c r="D1882" s="3"/>
    </row>
    <row r="1883" spans="1:4" ht="16.5" customHeight="1">
      <c r="A1883" s="3"/>
      <c r="B1883" s="3"/>
      <c r="C1883" s="3"/>
      <c r="D1883" s="3"/>
    </row>
    <row r="1884" spans="1:4" ht="16.5" customHeight="1">
      <c r="A1884" s="3"/>
      <c r="B1884" s="3"/>
      <c r="C1884" s="3"/>
      <c r="D1884" s="3"/>
    </row>
    <row r="1885" spans="1:4" ht="16.5" customHeight="1">
      <c r="A1885" s="3"/>
      <c r="B1885" s="3"/>
      <c r="C1885" s="3"/>
      <c r="D1885" s="3"/>
    </row>
    <row r="1886" spans="1:4" ht="16.5" customHeight="1">
      <c r="A1886" s="3"/>
      <c r="B1886" s="3"/>
      <c r="C1886" s="3"/>
      <c r="D1886" s="3"/>
    </row>
    <row r="1887" spans="1:4" ht="16.5" customHeight="1">
      <c r="A1887" s="3"/>
      <c r="B1887" s="3"/>
      <c r="C1887" s="3"/>
      <c r="D1887" s="3"/>
    </row>
    <row r="1888" spans="1:4" ht="16.5" customHeight="1">
      <c r="A1888" s="3"/>
      <c r="B1888" s="3"/>
      <c r="C1888" s="3"/>
      <c r="D1888" s="3"/>
    </row>
    <row r="1889" spans="1:4" ht="16.5" customHeight="1">
      <c r="A1889" s="3"/>
      <c r="B1889" s="3"/>
      <c r="C1889" s="3"/>
      <c r="D1889" s="3"/>
    </row>
    <row r="1890" spans="1:4" ht="16.5" customHeight="1">
      <c r="A1890" s="3"/>
      <c r="B1890" s="3"/>
      <c r="C1890" s="3"/>
      <c r="D1890" s="3"/>
    </row>
    <row r="1891" spans="1:4" ht="16.5" customHeight="1">
      <c r="A1891" s="3"/>
      <c r="B1891" s="3"/>
      <c r="C1891" s="3"/>
      <c r="D1891" s="3"/>
    </row>
    <row r="1892" spans="1:4" ht="16.5" customHeight="1">
      <c r="A1892" s="3"/>
      <c r="B1892" s="3"/>
      <c r="C1892" s="3"/>
      <c r="D1892" s="3"/>
    </row>
    <row r="1893" spans="1:4" ht="16.5" customHeight="1">
      <c r="A1893" s="3"/>
      <c r="B1893" s="3"/>
      <c r="C1893" s="3"/>
      <c r="D1893" s="3"/>
    </row>
    <row r="1894" spans="1:4" ht="16.5" customHeight="1">
      <c r="A1894" s="3"/>
      <c r="B1894" s="3"/>
      <c r="C1894" s="3"/>
      <c r="D1894" s="3"/>
    </row>
    <row r="1895" spans="1:4" ht="16.5" customHeight="1">
      <c r="A1895" s="3"/>
      <c r="B1895" s="3"/>
      <c r="C1895" s="3"/>
      <c r="D1895" s="3"/>
    </row>
    <row r="1896" spans="1:4" ht="16.5" customHeight="1">
      <c r="A1896" s="3"/>
      <c r="B1896" s="3"/>
      <c r="C1896" s="3"/>
      <c r="D1896" s="3"/>
    </row>
    <row r="1897" spans="1:4" ht="16.5" customHeight="1">
      <c r="A1897" s="3"/>
      <c r="B1897" s="3"/>
      <c r="C1897" s="3"/>
      <c r="D1897" s="3"/>
    </row>
    <row r="1898" spans="1:4" ht="16.5" customHeight="1">
      <c r="A1898" s="3"/>
      <c r="B1898" s="3"/>
      <c r="C1898" s="3"/>
      <c r="D1898" s="3"/>
    </row>
    <row r="1899" spans="1:4" ht="16.5" customHeight="1">
      <c r="A1899" s="3"/>
      <c r="B1899" s="3"/>
      <c r="C1899" s="3"/>
      <c r="D1899" s="3"/>
    </row>
    <row r="1900" spans="1:4" ht="16.5" customHeight="1">
      <c r="A1900" s="3"/>
      <c r="B1900" s="3"/>
      <c r="C1900" s="3"/>
      <c r="D1900" s="3"/>
    </row>
    <row r="1901" spans="1:4" ht="16.5" customHeight="1">
      <c r="A1901" s="3"/>
      <c r="B1901" s="3"/>
      <c r="C1901" s="3"/>
      <c r="D1901" s="3"/>
    </row>
    <row r="1902" spans="1:4" ht="16.5" customHeight="1">
      <c r="A1902" s="3"/>
      <c r="B1902" s="3"/>
      <c r="C1902" s="3"/>
      <c r="D1902" s="3"/>
    </row>
    <row r="1903" spans="1:4" ht="16.5" customHeight="1">
      <c r="A1903" s="3"/>
      <c r="B1903" s="3"/>
      <c r="C1903" s="3"/>
      <c r="D1903" s="3"/>
    </row>
    <row r="1904" spans="1:4" ht="16.5" customHeight="1">
      <c r="A1904" s="3"/>
      <c r="B1904" s="3"/>
      <c r="C1904" s="3"/>
      <c r="D1904" s="3"/>
    </row>
    <row r="1905" spans="1:4" ht="16.5" customHeight="1">
      <c r="A1905" s="3"/>
      <c r="B1905" s="3"/>
      <c r="C1905" s="3"/>
      <c r="D1905" s="3"/>
    </row>
    <row r="1906" spans="1:4" ht="16.5" customHeight="1">
      <c r="A1906" s="3"/>
      <c r="B1906" s="3"/>
      <c r="C1906" s="3"/>
      <c r="D1906" s="3"/>
    </row>
    <row r="1907" spans="1:4" ht="16.5" customHeight="1">
      <c r="A1907" s="3"/>
      <c r="B1907" s="3"/>
      <c r="C1907" s="3"/>
      <c r="D1907" s="3"/>
    </row>
    <row r="1908" spans="1:4" ht="16.5" customHeight="1">
      <c r="A1908" s="3"/>
      <c r="B1908" s="3"/>
      <c r="C1908" s="3"/>
      <c r="D1908" s="3"/>
    </row>
    <row r="1909" spans="1:4" ht="16.5" customHeight="1">
      <c r="A1909" s="3"/>
      <c r="B1909" s="3"/>
      <c r="C1909" s="3"/>
      <c r="D1909" s="3"/>
    </row>
    <row r="1910" spans="1:4" ht="16.5" customHeight="1">
      <c r="A1910" s="3"/>
      <c r="B1910" s="3"/>
      <c r="C1910" s="3"/>
      <c r="D1910" s="3"/>
    </row>
    <row r="1911" spans="1:4" ht="16.5" customHeight="1">
      <c r="A1911" s="3"/>
      <c r="B1911" s="3"/>
      <c r="C1911" s="3"/>
      <c r="D1911" s="3"/>
    </row>
    <row r="1912" spans="1:4" ht="16.5" customHeight="1">
      <c r="A1912" s="3"/>
      <c r="B1912" s="3"/>
      <c r="C1912" s="3"/>
      <c r="D1912" s="3"/>
    </row>
    <row r="1913" spans="1:4" ht="16.5" customHeight="1">
      <c r="A1913" s="3"/>
      <c r="B1913" s="3"/>
      <c r="C1913" s="3"/>
      <c r="D1913" s="3"/>
    </row>
    <row r="1914" spans="1:4" ht="16.5" customHeight="1">
      <c r="A1914" s="3"/>
      <c r="B1914" s="3"/>
      <c r="C1914" s="3"/>
      <c r="D1914" s="3"/>
    </row>
    <row r="1915" spans="1:4" ht="16.5" customHeight="1">
      <c r="A1915" s="3"/>
      <c r="B1915" s="3"/>
      <c r="C1915" s="3"/>
      <c r="D1915" s="3"/>
    </row>
    <row r="1916" spans="1:4" ht="16.5" customHeight="1">
      <c r="A1916" s="3"/>
      <c r="B1916" s="3"/>
      <c r="C1916" s="3"/>
      <c r="D1916" s="3"/>
    </row>
    <row r="1917" spans="1:4" ht="16.5" customHeight="1">
      <c r="A1917" s="3"/>
      <c r="B1917" s="3"/>
      <c r="C1917" s="3"/>
      <c r="D1917" s="3"/>
    </row>
    <row r="1918" spans="1:4" ht="16.5" customHeight="1">
      <c r="A1918" s="3"/>
      <c r="B1918" s="3"/>
      <c r="C1918" s="3"/>
      <c r="D1918" s="3"/>
    </row>
    <row r="1919" spans="1:4" ht="16.5" customHeight="1">
      <c r="A1919" s="3"/>
      <c r="B1919" s="3"/>
      <c r="C1919" s="3"/>
      <c r="D1919" s="3"/>
    </row>
    <row r="1920" spans="1:4" ht="16.5" customHeight="1">
      <c r="A1920" s="3"/>
      <c r="B1920" s="3"/>
      <c r="C1920" s="3"/>
      <c r="D1920" s="3"/>
    </row>
    <row r="1921" spans="1:4" ht="16.5" customHeight="1">
      <c r="A1921" s="3"/>
      <c r="B1921" s="3"/>
      <c r="C1921" s="3"/>
      <c r="D1921" s="3"/>
    </row>
    <row r="1922" spans="1:4" ht="16.5" customHeight="1">
      <c r="A1922" s="3"/>
      <c r="B1922" s="3"/>
      <c r="C1922" s="3"/>
      <c r="D1922" s="3"/>
    </row>
    <row r="1923" spans="1:4" ht="16.5" customHeight="1">
      <c r="A1923" s="3"/>
      <c r="B1923" s="3"/>
      <c r="C1923" s="3"/>
      <c r="D1923" s="3"/>
    </row>
    <row r="1924" spans="1:4" ht="16.5" customHeight="1">
      <c r="A1924" s="3"/>
      <c r="B1924" s="3"/>
      <c r="C1924" s="3"/>
      <c r="D1924" s="3"/>
    </row>
    <row r="1925" spans="1:4" ht="16.5" customHeight="1">
      <c r="A1925" s="3"/>
      <c r="B1925" s="3"/>
      <c r="C1925" s="3"/>
      <c r="D1925" s="3"/>
    </row>
    <row r="1926" spans="1:4" ht="16.5" customHeight="1">
      <c r="A1926" s="3"/>
      <c r="B1926" s="3"/>
      <c r="C1926" s="3"/>
      <c r="D1926" s="3"/>
    </row>
    <row r="1927" spans="1:4" ht="16.5" customHeight="1">
      <c r="A1927" s="3"/>
      <c r="B1927" s="3"/>
      <c r="C1927" s="3"/>
      <c r="D1927" s="3"/>
    </row>
    <row r="1928" spans="1:4" ht="16.5" customHeight="1">
      <c r="A1928" s="3"/>
      <c r="B1928" s="3"/>
      <c r="C1928" s="3"/>
      <c r="D1928" s="3"/>
    </row>
    <row r="1929" spans="1:4" ht="16.5" customHeight="1">
      <c r="A1929" s="3"/>
      <c r="B1929" s="3"/>
      <c r="C1929" s="3"/>
      <c r="D1929" s="3"/>
    </row>
    <row r="1930" spans="1:4" ht="16.5" customHeight="1">
      <c r="A1930" s="3"/>
      <c r="B1930" s="3"/>
      <c r="C1930" s="3"/>
      <c r="D1930" s="3"/>
    </row>
    <row r="1931" spans="1:4" ht="16.5" customHeight="1">
      <c r="A1931" s="3"/>
      <c r="B1931" s="3"/>
      <c r="C1931" s="3"/>
      <c r="D1931" s="3"/>
    </row>
    <row r="1932" spans="1:4" ht="16.5" customHeight="1">
      <c r="A1932" s="3"/>
      <c r="B1932" s="3"/>
      <c r="C1932" s="3"/>
      <c r="D1932" s="3"/>
    </row>
    <row r="1933" spans="1:4" ht="16.5" customHeight="1">
      <c r="A1933" s="3"/>
      <c r="B1933" s="3"/>
      <c r="C1933" s="3"/>
      <c r="D1933" s="3"/>
    </row>
    <row r="1934" spans="1:4" ht="16.5" customHeight="1">
      <c r="A1934" s="3"/>
      <c r="B1934" s="3"/>
      <c r="C1934" s="3"/>
      <c r="D1934" s="3"/>
    </row>
    <row r="1935" spans="1:4" ht="16.5" customHeight="1">
      <c r="A1935" s="3"/>
      <c r="B1935" s="3"/>
      <c r="C1935" s="3"/>
      <c r="D1935" s="3"/>
    </row>
    <row r="1936" spans="1:4" ht="16.5" customHeight="1">
      <c r="A1936" s="3"/>
      <c r="B1936" s="3"/>
      <c r="C1936" s="3"/>
      <c r="D1936" s="3"/>
    </row>
    <row r="1937" spans="1:4" ht="16.5" customHeight="1">
      <c r="A1937" s="3"/>
      <c r="B1937" s="3"/>
      <c r="C1937" s="3"/>
      <c r="D1937" s="3"/>
    </row>
    <row r="1938" spans="1:4" ht="16.5" customHeight="1">
      <c r="A1938" s="3"/>
      <c r="B1938" s="3"/>
      <c r="C1938" s="3"/>
      <c r="D1938" s="3"/>
    </row>
    <row r="1939" spans="1:4" ht="16.5" customHeight="1">
      <c r="A1939" s="3"/>
      <c r="B1939" s="3"/>
      <c r="C1939" s="3"/>
      <c r="D1939" s="3"/>
    </row>
    <row r="1940" spans="1:4" ht="16.5" customHeight="1">
      <c r="A1940" s="3"/>
      <c r="B1940" s="3"/>
      <c r="C1940" s="3"/>
      <c r="D1940" s="3"/>
    </row>
    <row r="1941" spans="1:4" ht="16.5" customHeight="1">
      <c r="A1941" s="3"/>
      <c r="B1941" s="3"/>
      <c r="C1941" s="3"/>
      <c r="D1941" s="3"/>
    </row>
    <row r="1942" spans="1:4" ht="16.5" customHeight="1">
      <c r="A1942" s="3"/>
      <c r="B1942" s="3"/>
      <c r="C1942" s="3"/>
      <c r="D1942" s="3"/>
    </row>
    <row r="1943" spans="1:4" ht="16.5" customHeight="1">
      <c r="A1943" s="3"/>
      <c r="B1943" s="3"/>
      <c r="C1943" s="3"/>
      <c r="D1943" s="3"/>
    </row>
    <row r="1944" spans="1:4" ht="16.5" customHeight="1">
      <c r="A1944" s="3"/>
      <c r="B1944" s="3"/>
      <c r="C1944" s="3"/>
      <c r="D1944" s="3"/>
    </row>
    <row r="1945" spans="1:4" ht="16.5" customHeight="1">
      <c r="A1945" s="3"/>
      <c r="B1945" s="3"/>
      <c r="C1945" s="3"/>
      <c r="D1945" s="3"/>
    </row>
    <row r="1946" spans="1:4" ht="16.5" customHeight="1">
      <c r="A1946" s="3"/>
      <c r="B1946" s="3"/>
      <c r="C1946" s="3"/>
      <c r="D1946" s="3"/>
    </row>
    <row r="1947" spans="1:4" ht="16.5" customHeight="1">
      <c r="A1947" s="3"/>
      <c r="B1947" s="3"/>
      <c r="C1947" s="3"/>
      <c r="D1947" s="3"/>
    </row>
    <row r="1948" spans="1:4" ht="16.5" customHeight="1">
      <c r="A1948" s="3"/>
      <c r="B1948" s="3"/>
      <c r="C1948" s="3"/>
      <c r="D1948" s="3"/>
    </row>
    <row r="1949" spans="1:4" ht="16.5" customHeight="1">
      <c r="A1949" s="3"/>
      <c r="B1949" s="3"/>
      <c r="C1949" s="3"/>
      <c r="D1949" s="3"/>
    </row>
    <row r="1950" spans="1:4" ht="16.5" customHeight="1">
      <c r="A1950" s="3"/>
      <c r="B1950" s="3"/>
      <c r="C1950" s="3"/>
      <c r="D1950" s="3"/>
    </row>
    <row r="1951" spans="1:4" ht="16.5" customHeight="1">
      <c r="A1951" s="3"/>
      <c r="B1951" s="3"/>
      <c r="C1951" s="3"/>
      <c r="D1951" s="3"/>
    </row>
    <row r="1952" spans="1:4" ht="16.5" customHeight="1">
      <c r="A1952" s="3"/>
      <c r="B1952" s="3"/>
      <c r="C1952" s="3"/>
      <c r="D1952" s="3"/>
    </row>
    <row r="1953" spans="1:4" ht="16.5" customHeight="1">
      <c r="A1953" s="3"/>
      <c r="B1953" s="3"/>
      <c r="C1953" s="3"/>
      <c r="D1953" s="3"/>
    </row>
    <row r="1954" spans="1:4" ht="16.5" customHeight="1">
      <c r="A1954" s="3"/>
      <c r="B1954" s="3"/>
      <c r="C1954" s="3"/>
      <c r="D1954" s="3"/>
    </row>
    <row r="1955" spans="1:4" ht="16.5" customHeight="1">
      <c r="A1955" s="3"/>
      <c r="B1955" s="3"/>
      <c r="C1955" s="3"/>
      <c r="D1955" s="3"/>
    </row>
    <row r="1956" spans="1:4" ht="16.5" customHeight="1">
      <c r="A1956" s="3"/>
      <c r="B1956" s="3"/>
      <c r="C1956" s="3"/>
      <c r="D1956" s="3"/>
    </row>
    <row r="1957" spans="1:4" ht="16.5" customHeight="1">
      <c r="A1957" s="3"/>
      <c r="B1957" s="3"/>
      <c r="C1957" s="3"/>
      <c r="D1957" s="3"/>
    </row>
    <row r="1958" spans="1:4" ht="16.5" customHeight="1">
      <c r="A1958" s="3"/>
      <c r="B1958" s="3"/>
      <c r="C1958" s="3"/>
      <c r="D1958" s="3"/>
    </row>
    <row r="1959" spans="1:4" ht="16.5" customHeight="1">
      <c r="A1959" s="3"/>
      <c r="B1959" s="3"/>
      <c r="C1959" s="3"/>
      <c r="D1959" s="3"/>
    </row>
    <row r="1960" spans="1:4" ht="16.5" customHeight="1">
      <c r="A1960" s="3"/>
      <c r="B1960" s="3"/>
      <c r="C1960" s="3"/>
      <c r="D1960" s="3"/>
    </row>
    <row r="1961" spans="1:4" ht="16.5" customHeight="1">
      <c r="A1961" s="3"/>
      <c r="B1961" s="3"/>
      <c r="C1961" s="3"/>
      <c r="D1961" s="3"/>
    </row>
    <row r="1962" spans="1:4" ht="16.5" customHeight="1">
      <c r="A1962" s="3"/>
      <c r="B1962" s="3"/>
      <c r="C1962" s="3"/>
      <c r="D1962" s="3"/>
    </row>
    <row r="1963" spans="1:4" ht="16.5" customHeight="1">
      <c r="A1963" s="3"/>
      <c r="B1963" s="3"/>
      <c r="C1963" s="3"/>
      <c r="D1963" s="3"/>
    </row>
    <row r="1964" spans="1:4" ht="16.5" customHeight="1">
      <c r="A1964" s="3"/>
      <c r="B1964" s="3"/>
      <c r="C1964" s="3"/>
      <c r="D1964" s="3"/>
    </row>
    <row r="1965" spans="1:4" ht="16.5" customHeight="1">
      <c r="A1965" s="3"/>
      <c r="B1965" s="3"/>
      <c r="C1965" s="3"/>
      <c r="D1965" s="3"/>
    </row>
    <row r="1966" spans="1:4" ht="16.5" customHeight="1">
      <c r="A1966" s="3"/>
      <c r="B1966" s="3"/>
      <c r="C1966" s="3"/>
      <c r="D1966" s="3"/>
    </row>
    <row r="1967" spans="1:4" ht="16.5" customHeight="1">
      <c r="A1967" s="3"/>
      <c r="B1967" s="3"/>
      <c r="C1967" s="3"/>
      <c r="D1967" s="3"/>
    </row>
    <row r="1968" spans="1:4" ht="16.5" customHeight="1">
      <c r="A1968" s="3"/>
      <c r="B1968" s="3"/>
      <c r="C1968" s="3"/>
      <c r="D1968" s="3"/>
    </row>
    <row r="1969" spans="1:4" ht="16.5" customHeight="1">
      <c r="A1969" s="3"/>
      <c r="B1969" s="3"/>
      <c r="C1969" s="3"/>
      <c r="D1969" s="3"/>
    </row>
    <row r="1970" spans="1:4" ht="16.5" customHeight="1">
      <c r="A1970" s="3"/>
      <c r="B1970" s="3"/>
      <c r="C1970" s="3"/>
      <c r="D1970" s="3"/>
    </row>
    <row r="1971" spans="1:4" ht="16.5" customHeight="1">
      <c r="A1971" s="3"/>
      <c r="B1971" s="3"/>
      <c r="C1971" s="3"/>
      <c r="D1971" s="3"/>
    </row>
    <row r="1972" spans="1:4" ht="16.5" customHeight="1">
      <c r="A1972" s="3"/>
      <c r="B1972" s="3"/>
      <c r="C1972" s="3"/>
      <c r="D1972" s="3"/>
    </row>
    <row r="1973" spans="1:4" ht="16.5" customHeight="1">
      <c r="A1973" s="3"/>
      <c r="B1973" s="3"/>
      <c r="C1973" s="3"/>
      <c r="D1973" s="3"/>
    </row>
    <row r="1974" spans="1:4" ht="16.5" customHeight="1">
      <c r="A1974" s="3"/>
      <c r="B1974" s="3"/>
      <c r="C1974" s="3"/>
      <c r="D1974" s="3"/>
    </row>
    <row r="1975" spans="1:4" ht="16.5" customHeight="1">
      <c r="A1975" s="3"/>
      <c r="B1975" s="3"/>
      <c r="C1975" s="3"/>
      <c r="D1975" s="3"/>
    </row>
    <row r="1976" spans="1:4" ht="16.5" customHeight="1">
      <c r="A1976" s="3"/>
      <c r="B1976" s="3"/>
      <c r="C1976" s="3"/>
      <c r="D1976" s="3"/>
    </row>
    <row r="1977" spans="1:4" ht="16.5" customHeight="1">
      <c r="A1977" s="3"/>
      <c r="B1977" s="3"/>
      <c r="C1977" s="3"/>
      <c r="D1977" s="3"/>
    </row>
    <row r="1978" spans="1:4" ht="16.5" customHeight="1">
      <c r="A1978" s="3"/>
      <c r="B1978" s="3"/>
      <c r="C1978" s="3"/>
      <c r="D1978" s="3"/>
    </row>
    <row r="1979" spans="1:4" ht="16.5" customHeight="1">
      <c r="A1979" s="3"/>
      <c r="B1979" s="3"/>
      <c r="C1979" s="3"/>
      <c r="D1979" s="3"/>
    </row>
    <row r="1980" spans="1:4" ht="16.5" customHeight="1">
      <c r="A1980" s="3"/>
      <c r="B1980" s="3"/>
      <c r="C1980" s="3"/>
      <c r="D1980" s="3"/>
    </row>
    <row r="1981" spans="1:4" ht="16.5" customHeight="1">
      <c r="A1981" s="3"/>
      <c r="B1981" s="3"/>
      <c r="C1981" s="3"/>
      <c r="D1981" s="3"/>
    </row>
    <row r="1982" spans="1:4" ht="16.5" customHeight="1">
      <c r="A1982" s="3"/>
      <c r="B1982" s="3"/>
      <c r="C1982" s="3"/>
      <c r="D1982" s="3"/>
    </row>
    <row r="1983" spans="1:4" ht="16.5" customHeight="1">
      <c r="A1983" s="3"/>
      <c r="B1983" s="3"/>
      <c r="C1983" s="3"/>
      <c r="D1983" s="3"/>
    </row>
    <row r="1984" spans="1:4" ht="16.5" customHeight="1">
      <c r="A1984" s="3"/>
      <c r="B1984" s="3"/>
      <c r="C1984" s="3"/>
      <c r="D1984" s="3"/>
    </row>
    <row r="1985" spans="1:4" ht="16.5" customHeight="1">
      <c r="A1985" s="3"/>
      <c r="B1985" s="3"/>
      <c r="C1985" s="3"/>
      <c r="D1985" s="3"/>
    </row>
    <row r="1986" spans="1:4" ht="16.5" customHeight="1">
      <c r="A1986" s="3"/>
      <c r="B1986" s="3"/>
      <c r="C1986" s="3"/>
      <c r="D1986" s="3"/>
    </row>
    <row r="1987" spans="1:4" ht="16.5" customHeight="1">
      <c r="A1987" s="3"/>
      <c r="B1987" s="3"/>
      <c r="C1987" s="3"/>
      <c r="D1987" s="3"/>
    </row>
    <row r="1988" spans="1:4" ht="16.5" customHeight="1">
      <c r="A1988" s="3"/>
      <c r="B1988" s="3"/>
      <c r="C1988" s="3"/>
      <c r="D1988" s="3"/>
    </row>
    <row r="1989" spans="1:4" ht="16.5" customHeight="1">
      <c r="A1989" s="3"/>
      <c r="B1989" s="3"/>
      <c r="C1989" s="3"/>
      <c r="D1989" s="3"/>
    </row>
    <row r="1990" spans="1:4" ht="16.5" customHeight="1">
      <c r="A1990" s="3"/>
      <c r="B1990" s="3"/>
      <c r="C1990" s="3"/>
      <c r="D1990" s="3"/>
    </row>
    <row r="1991" spans="1:4" ht="16.5" customHeight="1">
      <c r="A1991" s="3"/>
      <c r="B1991" s="3"/>
      <c r="C1991" s="3"/>
      <c r="D1991" s="3"/>
    </row>
    <row r="1992" spans="1:4" ht="16.5" customHeight="1">
      <c r="A1992" s="3"/>
      <c r="B1992" s="3"/>
      <c r="C1992" s="3"/>
      <c r="D1992" s="3"/>
    </row>
    <row r="1993" spans="1:4" ht="16.5" customHeight="1">
      <c r="A1993" s="3"/>
      <c r="B1993" s="3"/>
      <c r="C1993" s="3"/>
      <c r="D1993" s="3"/>
    </row>
    <row r="1994" spans="1:4" ht="16.5" customHeight="1">
      <c r="A1994" s="3"/>
      <c r="B1994" s="3"/>
      <c r="C1994" s="3"/>
      <c r="D1994" s="3"/>
    </row>
    <row r="1995" spans="1:4" ht="16.5" customHeight="1">
      <c r="A1995" s="3"/>
      <c r="B1995" s="3"/>
      <c r="C1995" s="3"/>
      <c r="D1995" s="3"/>
    </row>
    <row r="1996" spans="1:4" ht="16.5" customHeight="1">
      <c r="A1996" s="3"/>
      <c r="B1996" s="3"/>
      <c r="C1996" s="3"/>
      <c r="D1996" s="3"/>
    </row>
    <row r="1997" spans="1:4" ht="16.5" customHeight="1">
      <c r="A1997" s="3"/>
      <c r="B1997" s="3"/>
      <c r="C1997" s="3"/>
      <c r="D1997" s="3"/>
    </row>
    <row r="1998" spans="1:4" ht="16.5" customHeight="1">
      <c r="A1998" s="3"/>
      <c r="B1998" s="3"/>
      <c r="C1998" s="3"/>
      <c r="D1998" s="3"/>
    </row>
    <row r="1999" spans="1:4" ht="16.5" customHeight="1">
      <c r="A1999" s="3"/>
      <c r="B1999" s="3"/>
      <c r="C1999" s="3"/>
      <c r="D1999" s="3"/>
    </row>
    <row r="2000" spans="1:4" ht="16.5" customHeight="1">
      <c r="A2000" s="3"/>
      <c r="B2000" s="3"/>
      <c r="C2000" s="3"/>
      <c r="D2000" s="3"/>
    </row>
    <row r="2001" spans="1:4" ht="16.5" customHeight="1">
      <c r="A2001" s="3"/>
      <c r="B2001" s="3"/>
      <c r="C2001" s="3"/>
      <c r="D2001" s="3"/>
    </row>
    <row r="2002" spans="1:4" ht="16.5" customHeight="1">
      <c r="A2002" s="3"/>
      <c r="B2002" s="3"/>
      <c r="C2002" s="3"/>
      <c r="D2002" s="3"/>
    </row>
    <row r="2003" spans="1:4" ht="16.5" customHeight="1">
      <c r="A2003" s="3"/>
      <c r="B2003" s="3"/>
      <c r="C2003" s="3"/>
      <c r="D2003" s="3"/>
    </row>
    <row r="2004" spans="1:4" ht="16.5" customHeight="1">
      <c r="A2004" s="3"/>
      <c r="B2004" s="3"/>
      <c r="C2004" s="3"/>
      <c r="D2004" s="3"/>
    </row>
    <row r="2005" spans="1:4" ht="16.5" customHeight="1">
      <c r="A2005" s="3"/>
      <c r="B2005" s="3"/>
      <c r="C2005" s="3"/>
      <c r="D2005" s="3"/>
    </row>
    <row r="2006" spans="1:4" ht="16.5" customHeight="1">
      <c r="A2006" s="3"/>
      <c r="B2006" s="3"/>
      <c r="C2006" s="3"/>
      <c r="D2006" s="3"/>
    </row>
    <row r="2007" spans="1:4" ht="16.5" customHeight="1">
      <c r="A2007" s="3"/>
      <c r="B2007" s="3"/>
      <c r="C2007" s="3"/>
      <c r="D2007" s="3"/>
    </row>
    <row r="2008" spans="1:4" ht="16.5" customHeight="1">
      <c r="A2008" s="3"/>
      <c r="B2008" s="3"/>
      <c r="C2008" s="3"/>
      <c r="D2008" s="3"/>
    </row>
    <row r="2009" spans="1:4" ht="16.5" customHeight="1">
      <c r="A2009" s="3"/>
      <c r="B2009" s="3"/>
      <c r="C2009" s="3"/>
      <c r="D2009" s="3"/>
    </row>
    <row r="2010" spans="1:4" ht="16.5" customHeight="1">
      <c r="A2010" s="3"/>
      <c r="B2010" s="3"/>
      <c r="C2010" s="3"/>
      <c r="D2010" s="3"/>
    </row>
    <row r="2011" spans="1:4" ht="16.5" customHeight="1">
      <c r="A2011" s="3"/>
      <c r="B2011" s="3"/>
      <c r="C2011" s="3"/>
      <c r="D2011" s="3"/>
    </row>
    <row r="2012" spans="1:4" ht="16.5" customHeight="1">
      <c r="A2012" s="3"/>
      <c r="B2012" s="3"/>
      <c r="C2012" s="3"/>
      <c r="D2012" s="3"/>
    </row>
    <row r="2013" spans="1:4" ht="16.5" customHeight="1">
      <c r="A2013" s="3"/>
      <c r="B2013" s="3"/>
      <c r="C2013" s="3"/>
      <c r="D2013" s="3"/>
    </row>
    <row r="2014" spans="1:4" ht="16.5" customHeight="1">
      <c r="A2014" s="3"/>
      <c r="B2014" s="3"/>
      <c r="C2014" s="3"/>
      <c r="D2014" s="3"/>
    </row>
    <row r="2015" spans="1:4" ht="16.5" customHeight="1">
      <c r="A2015" s="3"/>
      <c r="B2015" s="3"/>
      <c r="C2015" s="3"/>
      <c r="D2015" s="3"/>
    </row>
    <row r="2016" spans="1:4" ht="16.5" customHeight="1">
      <c r="A2016" s="3"/>
      <c r="B2016" s="3"/>
      <c r="C2016" s="3"/>
      <c r="D2016" s="3"/>
    </row>
    <row r="2017" spans="1:4" ht="16.5" customHeight="1">
      <c r="A2017" s="3"/>
      <c r="B2017" s="3"/>
      <c r="C2017" s="3"/>
      <c r="D2017" s="3"/>
    </row>
    <row r="2018" spans="1:4" ht="16.5" customHeight="1">
      <c r="A2018" s="3"/>
      <c r="B2018" s="3"/>
      <c r="C2018" s="3"/>
      <c r="D2018" s="3"/>
    </row>
    <row r="2019" spans="1:4" ht="16.5" customHeight="1">
      <c r="A2019" s="3"/>
      <c r="B2019" s="3"/>
      <c r="C2019" s="3"/>
      <c r="D2019" s="3"/>
    </row>
    <row r="2020" spans="1:4" ht="16.5" customHeight="1">
      <c r="A2020" s="3"/>
      <c r="B2020" s="3"/>
      <c r="C2020" s="3"/>
      <c r="D2020" s="3"/>
    </row>
    <row r="2021" spans="1:4" ht="16.5" customHeight="1">
      <c r="A2021" s="3"/>
      <c r="B2021" s="3"/>
      <c r="C2021" s="3"/>
      <c r="D2021" s="3"/>
    </row>
    <row r="2022" spans="1:4" ht="16.5" customHeight="1">
      <c r="A2022" s="3"/>
      <c r="B2022" s="3"/>
      <c r="C2022" s="3"/>
      <c r="D2022" s="3"/>
    </row>
    <row r="2023" spans="1:4" ht="16.5" customHeight="1">
      <c r="A2023" s="3"/>
      <c r="B2023" s="3"/>
      <c r="C2023" s="3"/>
      <c r="D2023" s="3"/>
    </row>
    <row r="2024" spans="1:4" ht="16.5" customHeight="1">
      <c r="A2024" s="3"/>
      <c r="B2024" s="3"/>
      <c r="C2024" s="3"/>
      <c r="D2024" s="3"/>
    </row>
    <row r="2025" spans="1:4" ht="16.5" customHeight="1">
      <c r="A2025" s="3"/>
      <c r="B2025" s="3"/>
      <c r="C2025" s="3"/>
      <c r="D2025" s="3"/>
    </row>
    <row r="2026" spans="1:4" ht="16.5" customHeight="1">
      <c r="A2026" s="3"/>
      <c r="B2026" s="3"/>
      <c r="C2026" s="3"/>
      <c r="D2026" s="3"/>
    </row>
    <row r="2027" spans="1:4" ht="16.5" customHeight="1">
      <c r="A2027" s="3"/>
      <c r="B2027" s="3"/>
      <c r="C2027" s="3"/>
      <c r="D2027" s="3"/>
    </row>
    <row r="2028" spans="1:4" ht="16.5" customHeight="1">
      <c r="A2028" s="3"/>
      <c r="B2028" s="3"/>
      <c r="C2028" s="3"/>
      <c r="D2028" s="3"/>
    </row>
    <row r="2029" spans="1:4" ht="16.5" customHeight="1">
      <c r="A2029" s="3"/>
      <c r="B2029" s="3"/>
      <c r="C2029" s="3"/>
      <c r="D2029" s="3"/>
    </row>
    <row r="2030" spans="1:4" ht="16.5" customHeight="1">
      <c r="A2030" s="3"/>
      <c r="B2030" s="3"/>
      <c r="C2030" s="3"/>
      <c r="D2030" s="3"/>
    </row>
    <row r="2031" spans="1:4" ht="16.5" customHeight="1">
      <c r="A2031" s="3"/>
      <c r="B2031" s="3"/>
      <c r="C2031" s="3"/>
      <c r="D2031" s="3"/>
    </row>
    <row r="2032" spans="1:4" ht="16.5" customHeight="1">
      <c r="A2032" s="3"/>
      <c r="B2032" s="3"/>
      <c r="C2032" s="3"/>
      <c r="D2032" s="3"/>
    </row>
    <row r="2033" spans="1:4" ht="16.5" customHeight="1">
      <c r="A2033" s="3"/>
      <c r="B2033" s="3"/>
      <c r="C2033" s="3"/>
      <c r="D2033" s="3"/>
    </row>
    <row r="2034" spans="1:4" ht="16.5" customHeight="1">
      <c r="A2034" s="3"/>
      <c r="B2034" s="3"/>
      <c r="C2034" s="3"/>
      <c r="D2034" s="3"/>
    </row>
    <row r="2035" spans="1:4" ht="16.5" customHeight="1">
      <c r="A2035" s="3"/>
      <c r="B2035" s="3"/>
      <c r="C2035" s="3"/>
      <c r="D2035" s="3"/>
    </row>
    <row r="2036" spans="1:4" ht="16.5" customHeight="1">
      <c r="A2036" s="3"/>
      <c r="B2036" s="3"/>
      <c r="C2036" s="3"/>
      <c r="D2036" s="3"/>
    </row>
    <row r="2037" spans="1:4" ht="16.5" customHeight="1">
      <c r="A2037" s="3"/>
      <c r="B2037" s="3"/>
      <c r="C2037" s="3"/>
      <c r="D2037" s="3"/>
    </row>
    <row r="2038" spans="1:4" ht="16.5" customHeight="1">
      <c r="A2038" s="3"/>
      <c r="B2038" s="3"/>
      <c r="C2038" s="3"/>
      <c r="D2038" s="3"/>
    </row>
    <row r="2039" spans="1:4" ht="16.5" customHeight="1">
      <c r="A2039" s="3"/>
      <c r="B2039" s="3"/>
      <c r="C2039" s="3"/>
      <c r="D2039" s="3"/>
    </row>
    <row r="2040" spans="1:4" ht="16.5" customHeight="1">
      <c r="A2040" s="3"/>
      <c r="B2040" s="3"/>
      <c r="C2040" s="3"/>
      <c r="D2040" s="3"/>
    </row>
    <row r="2041" spans="1:4" ht="16.5" customHeight="1">
      <c r="A2041" s="3"/>
      <c r="B2041" s="3"/>
      <c r="C2041" s="3"/>
      <c r="D2041" s="3"/>
    </row>
    <row r="2042" spans="1:4" ht="16.5" customHeight="1">
      <c r="A2042" s="3"/>
      <c r="B2042" s="3"/>
      <c r="C2042" s="3"/>
      <c r="D2042" s="3"/>
    </row>
    <row r="2043" spans="1:4" ht="16.5" customHeight="1">
      <c r="A2043" s="3"/>
      <c r="B2043" s="3"/>
      <c r="C2043" s="3"/>
      <c r="D2043" s="3"/>
    </row>
    <row r="2044" spans="1:4" ht="16.5" customHeight="1">
      <c r="A2044" s="3"/>
      <c r="B2044" s="3"/>
      <c r="C2044" s="3"/>
      <c r="D2044" s="3"/>
    </row>
    <row r="2045" spans="1:4" ht="16.5" customHeight="1">
      <c r="A2045" s="3"/>
      <c r="B2045" s="3"/>
      <c r="C2045" s="3"/>
      <c r="D2045" s="3"/>
    </row>
    <row r="2046" spans="1:4" ht="16.5" customHeight="1">
      <c r="A2046" s="3"/>
      <c r="B2046" s="3"/>
      <c r="C2046" s="3"/>
      <c r="D2046" s="3"/>
    </row>
    <row r="2047" spans="1:4" ht="16.5" customHeight="1">
      <c r="A2047" s="3"/>
      <c r="B2047" s="3"/>
      <c r="C2047" s="3"/>
      <c r="D2047" s="3"/>
    </row>
    <row r="2048" spans="1:4" ht="16.5" customHeight="1">
      <c r="A2048" s="3"/>
      <c r="B2048" s="3"/>
      <c r="C2048" s="3"/>
      <c r="D2048" s="3"/>
    </row>
    <row r="2049" spans="1:4" ht="16.5" customHeight="1">
      <c r="A2049" s="3"/>
      <c r="B2049" s="3"/>
      <c r="C2049" s="3"/>
      <c r="D2049" s="3"/>
    </row>
    <row r="2050" spans="1:4" ht="16.5" customHeight="1">
      <c r="A2050" s="3"/>
      <c r="B2050" s="3"/>
      <c r="C2050" s="3"/>
      <c r="D2050" s="3"/>
    </row>
    <row r="2051" spans="1:4" ht="16.5" customHeight="1">
      <c r="A2051" s="3"/>
      <c r="B2051" s="3"/>
      <c r="C2051" s="3"/>
      <c r="D2051" s="3"/>
    </row>
    <row r="2052" spans="1:4" ht="16.5" customHeight="1">
      <c r="A2052" s="3"/>
      <c r="B2052" s="3"/>
      <c r="C2052" s="3"/>
      <c r="D2052" s="3"/>
    </row>
    <row r="2053" spans="1:4" ht="16.5" customHeight="1">
      <c r="A2053" s="3"/>
      <c r="B2053" s="3"/>
      <c r="C2053" s="3"/>
      <c r="D2053" s="3"/>
    </row>
    <row r="2054" spans="1:4" ht="16.5" customHeight="1">
      <c r="A2054" s="3"/>
      <c r="B2054" s="3"/>
      <c r="C2054" s="3"/>
      <c r="D2054" s="3"/>
    </row>
    <row r="2055" spans="1:4" ht="16.5" customHeight="1">
      <c r="A2055" s="3"/>
      <c r="B2055" s="3"/>
      <c r="C2055" s="3"/>
      <c r="D2055" s="3"/>
    </row>
    <row r="2056" spans="1:4" ht="16.5" customHeight="1">
      <c r="A2056" s="3"/>
      <c r="B2056" s="3"/>
      <c r="C2056" s="3"/>
      <c r="D2056" s="3"/>
    </row>
    <row r="2057" spans="1:4" ht="16.5" customHeight="1">
      <c r="A2057" s="3"/>
      <c r="B2057" s="3"/>
      <c r="C2057" s="3"/>
      <c r="D2057" s="3"/>
    </row>
    <row r="2058" spans="1:4" ht="16.5" customHeight="1">
      <c r="A2058" s="3"/>
      <c r="B2058" s="3"/>
      <c r="C2058" s="3"/>
      <c r="D2058" s="3"/>
    </row>
    <row r="2059" spans="1:4" ht="16.5" customHeight="1">
      <c r="A2059" s="3"/>
      <c r="B2059" s="3"/>
      <c r="C2059" s="3"/>
      <c r="D2059" s="3"/>
    </row>
    <row r="2060" spans="1:4" ht="16.5" customHeight="1">
      <c r="A2060" s="3"/>
      <c r="B2060" s="3"/>
      <c r="C2060" s="3"/>
      <c r="D2060" s="3"/>
    </row>
    <row r="2061" spans="1:4" ht="16.5" customHeight="1">
      <c r="A2061" s="3"/>
      <c r="B2061" s="3"/>
      <c r="C2061" s="3"/>
      <c r="D2061" s="3"/>
    </row>
    <row r="2062" spans="1:4" ht="16.5" customHeight="1">
      <c r="A2062" s="3"/>
      <c r="B2062" s="3"/>
      <c r="C2062" s="3"/>
      <c r="D2062" s="3"/>
    </row>
    <row r="2063" spans="1:4" ht="16.5" customHeight="1">
      <c r="A2063" s="3"/>
      <c r="B2063" s="3"/>
      <c r="C2063" s="3"/>
      <c r="D2063" s="3"/>
    </row>
    <row r="2064" spans="1:4" ht="16.5" customHeight="1">
      <c r="A2064" s="3"/>
      <c r="B2064" s="3"/>
      <c r="C2064" s="3"/>
      <c r="D2064" s="3"/>
    </row>
    <row r="2065" spans="1:4" ht="16.5" customHeight="1">
      <c r="A2065" s="3"/>
      <c r="B2065" s="3"/>
      <c r="C2065" s="3"/>
      <c r="D2065" s="3"/>
    </row>
    <row r="2066" spans="1:4" ht="16.5" customHeight="1">
      <c r="A2066" s="3"/>
      <c r="B2066" s="3"/>
      <c r="C2066" s="3"/>
      <c r="D2066" s="3"/>
    </row>
    <row r="2067" spans="1:4" ht="16.5" customHeight="1">
      <c r="A2067" s="3"/>
      <c r="B2067" s="3"/>
      <c r="C2067" s="3"/>
      <c r="D2067" s="3"/>
    </row>
    <row r="2068" spans="1:4" ht="16.5" customHeight="1">
      <c r="A2068" s="3"/>
      <c r="B2068" s="3"/>
      <c r="C2068" s="3"/>
      <c r="D2068" s="3"/>
    </row>
    <row r="2069" spans="1:4" ht="16.5" customHeight="1">
      <c r="A2069" s="3"/>
      <c r="B2069" s="3"/>
      <c r="C2069" s="3"/>
      <c r="D2069" s="3"/>
    </row>
    <row r="2070" spans="1:4" ht="16.5" customHeight="1">
      <c r="A2070" s="3"/>
      <c r="B2070" s="3"/>
      <c r="C2070" s="3"/>
      <c r="D2070" s="3"/>
    </row>
    <row r="2071" spans="1:4" ht="16.5" customHeight="1">
      <c r="A2071" s="3"/>
      <c r="B2071" s="3"/>
      <c r="C2071" s="3"/>
      <c r="D2071" s="3"/>
    </row>
    <row r="2072" spans="1:4" ht="16.5" customHeight="1">
      <c r="A2072" s="3"/>
      <c r="B2072" s="3"/>
      <c r="C2072" s="3"/>
      <c r="D2072" s="3"/>
    </row>
    <row r="2073" spans="1:4" ht="16.5" customHeight="1">
      <c r="A2073" s="3"/>
      <c r="B2073" s="3"/>
      <c r="C2073" s="3"/>
      <c r="D2073" s="3"/>
    </row>
    <row r="2074" spans="1:4" ht="16.5" customHeight="1">
      <c r="A2074" s="3"/>
      <c r="B2074" s="3"/>
      <c r="C2074" s="3"/>
      <c r="D2074" s="3"/>
    </row>
    <row r="2075" spans="1:4" ht="16.5" customHeight="1">
      <c r="A2075" s="3"/>
      <c r="B2075" s="3"/>
      <c r="C2075" s="3"/>
      <c r="D2075" s="3"/>
    </row>
    <row r="2076" spans="1:4" ht="16.5" customHeight="1">
      <c r="A2076" s="3"/>
      <c r="B2076" s="3"/>
      <c r="C2076" s="3"/>
      <c r="D2076" s="3"/>
    </row>
    <row r="2077" spans="1:4" ht="16.5" customHeight="1">
      <c r="A2077" s="3"/>
      <c r="B2077" s="3"/>
      <c r="C2077" s="3"/>
      <c r="D2077" s="3"/>
    </row>
    <row r="2078" spans="1:4" ht="16.5" customHeight="1">
      <c r="A2078" s="3"/>
      <c r="B2078" s="3"/>
      <c r="C2078" s="3"/>
      <c r="D2078" s="3"/>
    </row>
    <row r="2079" spans="1:4" ht="16.5" customHeight="1">
      <c r="A2079" s="3"/>
      <c r="B2079" s="3"/>
      <c r="C2079" s="3"/>
      <c r="D2079" s="3"/>
    </row>
    <row r="2080" spans="1:4" ht="16.5" customHeight="1">
      <c r="A2080" s="3"/>
      <c r="B2080" s="3"/>
      <c r="C2080" s="3"/>
      <c r="D2080" s="3"/>
    </row>
    <row r="2081" spans="1:4" ht="16.5" customHeight="1">
      <c r="A2081" s="3"/>
      <c r="B2081" s="3"/>
      <c r="C2081" s="3"/>
      <c r="D2081" s="3"/>
    </row>
    <row r="2082" spans="1:4" ht="16.5" customHeight="1">
      <c r="A2082" s="3"/>
      <c r="B2082" s="3"/>
      <c r="C2082" s="3"/>
      <c r="D2082" s="3"/>
    </row>
    <row r="2083" spans="1:4" ht="16.5" customHeight="1">
      <c r="A2083" s="3"/>
      <c r="B2083" s="3"/>
      <c r="C2083" s="3"/>
      <c r="D2083" s="3"/>
    </row>
    <row r="2084" spans="1:4" ht="16.5" customHeight="1">
      <c r="A2084" s="3"/>
      <c r="B2084" s="3"/>
      <c r="C2084" s="3"/>
      <c r="D2084" s="3"/>
    </row>
    <row r="2085" spans="1:4" ht="16.5" customHeight="1">
      <c r="A2085" s="3"/>
      <c r="B2085" s="3"/>
      <c r="C2085" s="3"/>
      <c r="D2085" s="3"/>
    </row>
    <row r="2086" spans="1:4" ht="16.5" customHeight="1">
      <c r="A2086" s="3"/>
      <c r="B2086" s="3"/>
      <c r="C2086" s="3"/>
      <c r="D2086" s="3"/>
    </row>
    <row r="2087" spans="1:4" ht="16.5" customHeight="1">
      <c r="A2087" s="3"/>
      <c r="B2087" s="3"/>
      <c r="C2087" s="3"/>
      <c r="D2087" s="3"/>
    </row>
    <row r="2088" spans="1:4" ht="16.5" customHeight="1">
      <c r="A2088" s="3"/>
      <c r="B2088" s="3"/>
      <c r="C2088" s="3"/>
      <c r="D2088" s="3"/>
    </row>
    <row r="2089" spans="1:4" ht="16.5" customHeight="1">
      <c r="A2089" s="3"/>
      <c r="B2089" s="3"/>
      <c r="C2089" s="3"/>
      <c r="D2089" s="3"/>
    </row>
    <row r="2090" spans="1:4" ht="16.5" customHeight="1">
      <c r="A2090" s="3"/>
      <c r="B2090" s="3"/>
      <c r="C2090" s="3"/>
      <c r="D2090" s="3"/>
    </row>
    <row r="2091" spans="1:4" ht="16.5" customHeight="1">
      <c r="A2091" s="3"/>
      <c r="B2091" s="3"/>
      <c r="C2091" s="3"/>
      <c r="D2091" s="3"/>
    </row>
    <row r="2092" spans="1:4" ht="16.5" customHeight="1">
      <c r="A2092" s="3"/>
      <c r="B2092" s="3"/>
      <c r="C2092" s="3"/>
      <c r="D2092" s="3"/>
    </row>
    <row r="2093" spans="1:4" ht="16.5" customHeight="1">
      <c r="A2093" s="3"/>
      <c r="B2093" s="3"/>
      <c r="C2093" s="3"/>
      <c r="D2093" s="3"/>
    </row>
    <row r="2094" spans="1:4" ht="16.5" customHeight="1">
      <c r="A2094" s="3"/>
      <c r="B2094" s="3"/>
      <c r="C2094" s="3"/>
      <c r="D2094" s="3"/>
    </row>
    <row r="2095" spans="1:4" ht="16.5" customHeight="1">
      <c r="A2095" s="3"/>
      <c r="B2095" s="3"/>
      <c r="C2095" s="3"/>
      <c r="D2095" s="3"/>
    </row>
    <row r="2096" spans="1:4" ht="16.5" customHeight="1">
      <c r="A2096" s="3"/>
      <c r="B2096" s="3"/>
      <c r="C2096" s="3"/>
      <c r="D2096" s="3"/>
    </row>
    <row r="2097" spans="1:4" ht="16.5" customHeight="1">
      <c r="A2097" s="3"/>
      <c r="B2097" s="3"/>
      <c r="C2097" s="3"/>
      <c r="D2097" s="3"/>
    </row>
    <row r="2098" spans="1:4" ht="16.5" customHeight="1">
      <c r="A2098" s="3"/>
      <c r="B2098" s="3"/>
      <c r="C2098" s="3"/>
      <c r="D2098" s="3"/>
    </row>
    <row r="2099" spans="1:4" ht="16.5" customHeight="1">
      <c r="A2099" s="3"/>
      <c r="B2099" s="3"/>
      <c r="C2099" s="3"/>
      <c r="D2099" s="3"/>
    </row>
    <row r="2100" spans="1:4" ht="16.5" customHeight="1">
      <c r="A2100" s="3"/>
      <c r="B2100" s="3"/>
      <c r="C2100" s="3"/>
      <c r="D2100" s="3"/>
    </row>
    <row r="2101" spans="1:4" ht="16.5" customHeight="1">
      <c r="A2101" s="3"/>
      <c r="B2101" s="3"/>
      <c r="C2101" s="3"/>
      <c r="D2101" s="3"/>
    </row>
    <row r="2102" spans="1:4" ht="16.5" customHeight="1">
      <c r="A2102" s="3"/>
      <c r="B2102" s="3"/>
      <c r="C2102" s="3"/>
      <c r="D2102" s="3"/>
    </row>
    <row r="2103" spans="1:4" ht="16.5" customHeight="1">
      <c r="A2103" s="3"/>
      <c r="B2103" s="3"/>
      <c r="C2103" s="3"/>
      <c r="D2103" s="3"/>
    </row>
    <row r="2104" spans="1:4" ht="16.5" customHeight="1">
      <c r="A2104" s="3"/>
      <c r="B2104" s="3"/>
      <c r="C2104" s="3"/>
      <c r="D2104" s="3"/>
    </row>
    <row r="2105" spans="1:4" ht="16.5" customHeight="1">
      <c r="A2105" s="3"/>
      <c r="B2105" s="3"/>
      <c r="C2105" s="3"/>
      <c r="D2105" s="3"/>
    </row>
    <row r="2106" spans="1:4" ht="16.5" customHeight="1">
      <c r="A2106" s="3"/>
      <c r="B2106" s="3"/>
      <c r="C2106" s="3"/>
      <c r="D2106" s="3"/>
    </row>
    <row r="2107" spans="1:4" ht="16.5" customHeight="1">
      <c r="A2107" s="3"/>
      <c r="B2107" s="3"/>
      <c r="C2107" s="3"/>
      <c r="D2107" s="3"/>
    </row>
    <row r="2108" spans="1:4" ht="16.5" customHeight="1">
      <c r="A2108" s="3"/>
      <c r="B2108" s="3"/>
      <c r="C2108" s="3"/>
      <c r="D2108" s="3"/>
    </row>
    <row r="2109" spans="1:4" ht="16.5" customHeight="1">
      <c r="A2109" s="3"/>
      <c r="B2109" s="3"/>
      <c r="C2109" s="3"/>
      <c r="D2109" s="3"/>
    </row>
    <row r="2110" spans="1:4" ht="16.5" customHeight="1">
      <c r="A2110" s="3"/>
      <c r="B2110" s="3"/>
      <c r="C2110" s="3"/>
      <c r="D2110" s="3"/>
    </row>
    <row r="2111" spans="1:4" ht="16.5" customHeight="1">
      <c r="A2111" s="3"/>
      <c r="B2111" s="3"/>
      <c r="C2111" s="3"/>
      <c r="D2111" s="3"/>
    </row>
    <row r="2112" spans="1:4" ht="16.5" customHeight="1">
      <c r="A2112" s="3"/>
      <c r="B2112" s="3"/>
      <c r="C2112" s="3"/>
      <c r="D2112" s="3"/>
    </row>
    <row r="2113" spans="1:4" ht="16.5" customHeight="1">
      <c r="A2113" s="3"/>
      <c r="B2113" s="3"/>
      <c r="C2113" s="3"/>
      <c r="D2113" s="3"/>
    </row>
    <row r="2114" spans="1:4" ht="16.5" customHeight="1">
      <c r="A2114" s="3"/>
      <c r="B2114" s="3"/>
      <c r="C2114" s="3"/>
      <c r="D2114" s="3"/>
    </row>
    <row r="2115" spans="1:4" ht="16.5" customHeight="1">
      <c r="A2115" s="3"/>
      <c r="B2115" s="3"/>
      <c r="C2115" s="3"/>
      <c r="D2115" s="3"/>
    </row>
    <row r="2116" spans="1:4" ht="16.5" customHeight="1">
      <c r="A2116" s="3"/>
      <c r="B2116" s="3"/>
      <c r="C2116" s="3"/>
      <c r="D2116" s="3"/>
    </row>
    <row r="2117" spans="1:4" ht="16.5" customHeight="1">
      <c r="A2117" s="3"/>
      <c r="B2117" s="3"/>
      <c r="C2117" s="3"/>
      <c r="D2117" s="3"/>
    </row>
    <row r="2118" spans="1:4" ht="16.5" customHeight="1">
      <c r="A2118" s="3"/>
      <c r="B2118" s="3"/>
      <c r="C2118" s="3"/>
      <c r="D2118" s="3"/>
    </row>
    <row r="2119" spans="1:4" ht="16.5" customHeight="1">
      <c r="A2119" s="3"/>
      <c r="B2119" s="3"/>
      <c r="C2119" s="3"/>
      <c r="D2119" s="3"/>
    </row>
    <row r="2120" spans="1:4" ht="16.5" customHeight="1">
      <c r="A2120" s="3"/>
      <c r="B2120" s="3"/>
      <c r="C2120" s="3"/>
      <c r="D2120" s="3"/>
    </row>
    <row r="2121" spans="1:4" ht="16.5" customHeight="1">
      <c r="A2121" s="3"/>
      <c r="B2121" s="3"/>
      <c r="C2121" s="3"/>
      <c r="D2121" s="3"/>
    </row>
    <row r="2122" spans="1:4" ht="16.5" customHeight="1">
      <c r="A2122" s="3"/>
      <c r="B2122" s="3"/>
      <c r="C2122" s="3"/>
      <c r="D2122" s="3"/>
    </row>
    <row r="2123" spans="1:4" ht="16.5" customHeight="1">
      <c r="A2123" s="3"/>
      <c r="B2123" s="3"/>
      <c r="C2123" s="3"/>
      <c r="D2123" s="3"/>
    </row>
    <row r="2124" spans="1:4" ht="16.5" customHeight="1">
      <c r="A2124" s="3"/>
      <c r="B2124" s="3"/>
      <c r="C2124" s="3"/>
      <c r="D2124" s="3"/>
    </row>
    <row r="2125" spans="1:4" ht="16.5" customHeight="1">
      <c r="A2125" s="3"/>
      <c r="B2125" s="3"/>
      <c r="C2125" s="3"/>
      <c r="D2125" s="3"/>
    </row>
    <row r="2126" spans="1:4" ht="16.5" customHeight="1">
      <c r="A2126" s="3"/>
      <c r="B2126" s="3"/>
      <c r="C2126" s="3"/>
      <c r="D2126" s="3"/>
    </row>
    <row r="2127" spans="1:4" ht="16.5" customHeight="1">
      <c r="A2127" s="3"/>
      <c r="B2127" s="3"/>
      <c r="C2127" s="3"/>
      <c r="D2127" s="3"/>
    </row>
    <row r="2128" spans="1:4" ht="16.5" customHeight="1">
      <c r="A2128" s="3"/>
      <c r="B2128" s="3"/>
      <c r="C2128" s="3"/>
      <c r="D2128" s="3"/>
    </row>
    <row r="2129" spans="1:4" ht="16.5" customHeight="1">
      <c r="A2129" s="3"/>
      <c r="B2129" s="3"/>
      <c r="C2129" s="3"/>
      <c r="D2129" s="3"/>
    </row>
    <row r="2130" spans="1:4" ht="16.5" customHeight="1">
      <c r="A2130" s="3"/>
      <c r="B2130" s="3"/>
      <c r="C2130" s="3"/>
      <c r="D2130" s="3"/>
    </row>
    <row r="2131" spans="1:4" ht="16.5" customHeight="1">
      <c r="A2131" s="3"/>
      <c r="B2131" s="3"/>
      <c r="C2131" s="3"/>
      <c r="D2131" s="3"/>
    </row>
    <row r="2132" spans="1:4" ht="16.5" customHeight="1">
      <c r="A2132" s="3"/>
      <c r="B2132" s="3"/>
      <c r="C2132" s="3"/>
      <c r="D2132" s="3"/>
    </row>
    <row r="2133" spans="1:4" ht="16.5" customHeight="1">
      <c r="A2133" s="3"/>
      <c r="B2133" s="3"/>
      <c r="C2133" s="3"/>
      <c r="D2133" s="3"/>
    </row>
    <row r="2134" spans="1:4" ht="16.5" customHeight="1">
      <c r="A2134" s="3"/>
      <c r="B2134" s="3"/>
      <c r="C2134" s="3"/>
      <c r="D2134" s="3"/>
    </row>
    <row r="2135" spans="1:4" ht="16.5" customHeight="1">
      <c r="A2135" s="3"/>
      <c r="B2135" s="3"/>
      <c r="C2135" s="3"/>
      <c r="D2135" s="3"/>
    </row>
    <row r="2136" spans="1:4" ht="16.5" customHeight="1">
      <c r="A2136" s="3"/>
      <c r="B2136" s="3"/>
      <c r="C2136" s="3"/>
      <c r="D2136" s="3"/>
    </row>
    <row r="2137" spans="1:4" ht="16.5" customHeight="1">
      <c r="A2137" s="3"/>
      <c r="B2137" s="3"/>
      <c r="C2137" s="3"/>
      <c r="D2137" s="3"/>
    </row>
    <row r="2138" spans="1:4" ht="16.5" customHeight="1">
      <c r="A2138" s="3"/>
      <c r="B2138" s="3"/>
      <c r="C2138" s="3"/>
      <c r="D2138" s="3"/>
    </row>
    <row r="2139" spans="1:4" ht="16.5" customHeight="1">
      <c r="A2139" s="3"/>
      <c r="B2139" s="3"/>
      <c r="C2139" s="3"/>
      <c r="D2139" s="3"/>
    </row>
    <row r="2140" spans="1:4" ht="16.5" customHeight="1">
      <c r="A2140" s="3"/>
      <c r="B2140" s="3"/>
      <c r="C2140" s="3"/>
      <c r="D2140" s="3"/>
    </row>
    <row r="2141" spans="1:4" ht="16.5" customHeight="1">
      <c r="A2141" s="3"/>
      <c r="B2141" s="3"/>
      <c r="C2141" s="3"/>
      <c r="D2141" s="3"/>
    </row>
    <row r="2142" spans="1:4" ht="16.5" customHeight="1">
      <c r="A2142" s="3"/>
      <c r="B2142" s="3"/>
      <c r="C2142" s="3"/>
      <c r="D2142" s="3"/>
    </row>
    <row r="2143" spans="1:4" ht="16.5" customHeight="1">
      <c r="A2143" s="3"/>
      <c r="B2143" s="3"/>
      <c r="C2143" s="3"/>
      <c r="D2143" s="3"/>
    </row>
    <row r="2144" spans="1:4" ht="16.5" customHeight="1">
      <c r="A2144" s="3"/>
      <c r="B2144" s="3"/>
      <c r="C2144" s="3"/>
      <c r="D2144" s="3"/>
    </row>
    <row r="2145" spans="1:4" ht="16.5" customHeight="1">
      <c r="A2145" s="3"/>
      <c r="B2145" s="3"/>
      <c r="C2145" s="3"/>
      <c r="D2145" s="3"/>
    </row>
    <row r="2146" spans="1:4" ht="16.5" customHeight="1">
      <c r="A2146" s="3"/>
      <c r="B2146" s="3"/>
      <c r="C2146" s="3"/>
      <c r="D2146" s="3"/>
    </row>
    <row r="2147" spans="1:4" ht="16.5" customHeight="1">
      <c r="A2147" s="3"/>
      <c r="B2147" s="3"/>
      <c r="C2147" s="3"/>
      <c r="D2147" s="3"/>
    </row>
    <row r="2148" spans="1:4" ht="16.5" customHeight="1">
      <c r="A2148" s="3"/>
      <c r="B2148" s="3"/>
      <c r="C2148" s="3"/>
      <c r="D2148" s="3"/>
    </row>
    <row r="2149" spans="1:4" ht="16.5" customHeight="1">
      <c r="A2149" s="3"/>
      <c r="B2149" s="3"/>
      <c r="C2149" s="3"/>
      <c r="D2149" s="3"/>
    </row>
    <row r="2150" spans="1:4" ht="16.5" customHeight="1">
      <c r="A2150" s="3"/>
      <c r="B2150" s="3"/>
      <c r="C2150" s="3"/>
      <c r="D2150" s="3"/>
    </row>
    <row r="2151" spans="1:4" ht="16.5" customHeight="1">
      <c r="A2151" s="3"/>
      <c r="B2151" s="3"/>
      <c r="C2151" s="3"/>
      <c r="D2151" s="3"/>
    </row>
    <row r="2152" spans="1:4" ht="16.5" customHeight="1">
      <c r="A2152" s="3"/>
      <c r="B2152" s="3"/>
      <c r="C2152" s="3"/>
      <c r="D2152" s="3"/>
    </row>
    <row r="2153" spans="1:4" ht="16.5" customHeight="1">
      <c r="A2153" s="3"/>
      <c r="B2153" s="3"/>
      <c r="C2153" s="3"/>
      <c r="D2153" s="3"/>
    </row>
    <row r="2154" spans="1:4" ht="16.5" customHeight="1">
      <c r="A2154" s="3"/>
      <c r="B2154" s="3"/>
      <c r="C2154" s="3"/>
      <c r="D2154" s="3"/>
    </row>
    <row r="2155" spans="1:4" ht="16.5" customHeight="1">
      <c r="A2155" s="3"/>
      <c r="B2155" s="3"/>
      <c r="C2155" s="3"/>
      <c r="D2155" s="3"/>
    </row>
    <row r="2156" spans="1:4" ht="16.5" customHeight="1">
      <c r="A2156" s="3"/>
      <c r="B2156" s="3"/>
      <c r="C2156" s="3"/>
      <c r="D2156" s="3"/>
    </row>
    <row r="2157" spans="1:4" ht="16.5" customHeight="1">
      <c r="A2157" s="3"/>
      <c r="B2157" s="3"/>
      <c r="C2157" s="3"/>
      <c r="D2157" s="3"/>
    </row>
    <row r="2158" spans="1:4" ht="16.5" customHeight="1">
      <c r="A2158" s="3"/>
      <c r="B2158" s="3"/>
      <c r="C2158" s="3"/>
      <c r="D2158" s="3"/>
    </row>
    <row r="2159" spans="1:4" ht="16.5" customHeight="1">
      <c r="A2159" s="3"/>
      <c r="B2159" s="3"/>
      <c r="C2159" s="3"/>
      <c r="D2159" s="3"/>
    </row>
    <row r="2160" spans="1:4" ht="16.5" customHeight="1">
      <c r="A2160" s="3"/>
      <c r="B2160" s="3"/>
      <c r="C2160" s="3"/>
      <c r="D2160" s="3"/>
    </row>
    <row r="2161" spans="1:4" ht="16.5" customHeight="1">
      <c r="A2161" s="3"/>
      <c r="B2161" s="3"/>
      <c r="C2161" s="3"/>
      <c r="D2161" s="3"/>
    </row>
    <row r="2162" spans="1:4" ht="16.5" customHeight="1">
      <c r="A2162" s="3"/>
      <c r="B2162" s="3"/>
      <c r="C2162" s="3"/>
      <c r="D2162" s="3"/>
    </row>
    <row r="2163" spans="1:4" ht="16.5" customHeight="1">
      <c r="A2163" s="3"/>
      <c r="B2163" s="3"/>
      <c r="C2163" s="3"/>
      <c r="D2163" s="3"/>
    </row>
    <row r="2164" spans="1:4" ht="16.5" customHeight="1">
      <c r="A2164" s="3"/>
      <c r="B2164" s="3"/>
      <c r="C2164" s="3"/>
      <c r="D2164" s="3"/>
    </row>
    <row r="2165" spans="1:4" ht="16.5" customHeight="1">
      <c r="A2165" s="3"/>
      <c r="B2165" s="3"/>
      <c r="C2165" s="3"/>
      <c r="D2165" s="3"/>
    </row>
    <row r="2166" spans="1:4" ht="16.5" customHeight="1">
      <c r="A2166" s="3"/>
      <c r="B2166" s="3"/>
      <c r="C2166" s="3"/>
      <c r="D2166" s="3"/>
    </row>
    <row r="2167" spans="1:4" ht="16.5" customHeight="1">
      <c r="A2167" s="3"/>
      <c r="B2167" s="3"/>
      <c r="C2167" s="3"/>
      <c r="D2167" s="3"/>
    </row>
    <row r="2168" spans="1:4" ht="16.5" customHeight="1">
      <c r="A2168" s="3"/>
      <c r="B2168" s="3"/>
      <c r="C2168" s="3"/>
      <c r="D2168" s="3"/>
    </row>
    <row r="2169" spans="1:4" ht="16.5" customHeight="1">
      <c r="A2169" s="3"/>
      <c r="B2169" s="3"/>
      <c r="C2169" s="3"/>
      <c r="D2169" s="3"/>
    </row>
    <row r="2170" spans="1:4" ht="16.5" customHeight="1">
      <c r="A2170" s="3"/>
      <c r="B2170" s="3"/>
      <c r="C2170" s="3"/>
      <c r="D2170" s="3"/>
    </row>
    <row r="2171" spans="1:4" ht="16.5" customHeight="1">
      <c r="A2171" s="3"/>
      <c r="B2171" s="3"/>
      <c r="C2171" s="3"/>
      <c r="D2171" s="3"/>
    </row>
    <row r="2172" spans="1:4" ht="16.5" customHeight="1">
      <c r="A2172" s="3"/>
      <c r="B2172" s="3"/>
      <c r="C2172" s="3"/>
      <c r="D2172" s="3"/>
    </row>
    <row r="2173" spans="1:4" ht="16.5" customHeight="1">
      <c r="A2173" s="3"/>
      <c r="B2173" s="3"/>
      <c r="C2173" s="3"/>
      <c r="D2173" s="3"/>
    </row>
    <row r="2174" spans="1:4" ht="16.5" customHeight="1">
      <c r="A2174" s="3"/>
      <c r="B2174" s="3"/>
      <c r="C2174" s="3"/>
      <c r="D2174" s="3"/>
    </row>
    <row r="2175" spans="1:4" ht="16.5" customHeight="1">
      <c r="A2175" s="3"/>
      <c r="B2175" s="3"/>
      <c r="C2175" s="3"/>
      <c r="D2175" s="3"/>
    </row>
    <row r="2176" spans="1:4" ht="16.5" customHeight="1">
      <c r="A2176" s="3"/>
      <c r="B2176" s="3"/>
      <c r="C2176" s="3"/>
      <c r="D2176" s="3"/>
    </row>
    <row r="2177" spans="1:4" ht="16.5" customHeight="1">
      <c r="A2177" s="3"/>
      <c r="B2177" s="3"/>
      <c r="C2177" s="3"/>
      <c r="D2177" s="3"/>
    </row>
    <row r="2178" spans="1:4" ht="16.5" customHeight="1">
      <c r="A2178" s="3"/>
      <c r="B2178" s="3"/>
      <c r="C2178" s="3"/>
      <c r="D2178" s="3"/>
    </row>
    <row r="2179" spans="1:4" ht="16.5" customHeight="1">
      <c r="A2179" s="3"/>
      <c r="B2179" s="3"/>
      <c r="C2179" s="3"/>
      <c r="D2179" s="3"/>
    </row>
    <row r="2180" spans="1:4" ht="16.5" customHeight="1">
      <c r="A2180" s="3"/>
      <c r="B2180" s="3"/>
      <c r="C2180" s="3"/>
      <c r="D2180" s="3"/>
    </row>
    <row r="2181" spans="1:4" ht="16.5" customHeight="1">
      <c r="A2181" s="3"/>
      <c r="B2181" s="3"/>
      <c r="C2181" s="3"/>
      <c r="D2181" s="3"/>
    </row>
    <row r="2182" spans="1:4" ht="16.5" customHeight="1">
      <c r="A2182" s="3"/>
      <c r="B2182" s="3"/>
      <c r="C2182" s="3"/>
      <c r="D2182" s="3"/>
    </row>
    <row r="2183" spans="1:4" ht="16.5" customHeight="1">
      <c r="A2183" s="3"/>
      <c r="B2183" s="3"/>
      <c r="C2183" s="3"/>
      <c r="D2183" s="3"/>
    </row>
    <row r="2184" spans="1:4" ht="16.5" customHeight="1">
      <c r="A2184" s="3"/>
      <c r="B2184" s="3"/>
      <c r="C2184" s="3"/>
      <c r="D2184" s="3"/>
    </row>
    <row r="2185" spans="1:4" ht="16.5" customHeight="1">
      <c r="A2185" s="3"/>
      <c r="B2185" s="3"/>
      <c r="C2185" s="3"/>
      <c r="D2185" s="3"/>
    </row>
    <row r="2186" spans="1:4" ht="16.5" customHeight="1">
      <c r="A2186" s="3"/>
      <c r="B2186" s="3"/>
      <c r="C2186" s="3"/>
      <c r="D2186" s="3"/>
    </row>
    <row r="2187" spans="1:4" ht="16.5" customHeight="1">
      <c r="A2187" s="3"/>
      <c r="B2187" s="3"/>
      <c r="C2187" s="3"/>
      <c r="D2187" s="3"/>
    </row>
    <row r="2188" spans="1:4" ht="16.5" customHeight="1">
      <c r="A2188" s="3"/>
      <c r="B2188" s="3"/>
      <c r="C2188" s="3"/>
      <c r="D2188" s="3"/>
    </row>
    <row r="2189" spans="1:4" ht="16.5" customHeight="1">
      <c r="A2189" s="3"/>
      <c r="B2189" s="3"/>
      <c r="C2189" s="3"/>
      <c r="D2189" s="3"/>
    </row>
    <row r="2190" spans="1:4" ht="16.5" customHeight="1">
      <c r="A2190" s="3"/>
      <c r="B2190" s="3"/>
      <c r="C2190" s="3"/>
      <c r="D2190" s="3"/>
    </row>
    <row r="2191" spans="1:4" ht="16.5" customHeight="1">
      <c r="A2191" s="3"/>
      <c r="B2191" s="3"/>
      <c r="C2191" s="3"/>
      <c r="D2191" s="3"/>
    </row>
    <row r="2192" spans="1:4" ht="16.5" customHeight="1">
      <c r="A2192" s="3"/>
      <c r="B2192" s="3"/>
      <c r="C2192" s="3"/>
      <c r="D2192" s="3"/>
    </row>
    <row r="2193" spans="1:4" ht="16.5" customHeight="1">
      <c r="A2193" s="3"/>
      <c r="B2193" s="3"/>
      <c r="C2193" s="3"/>
      <c r="D2193" s="3"/>
    </row>
    <row r="2194" spans="1:4" ht="16.5" customHeight="1">
      <c r="A2194" s="3"/>
      <c r="B2194" s="3"/>
      <c r="C2194" s="3"/>
      <c r="D2194" s="3"/>
    </row>
    <row r="2195" spans="1:4" ht="16.5" customHeight="1">
      <c r="A2195" s="3"/>
      <c r="B2195" s="3"/>
      <c r="C2195" s="3"/>
      <c r="D2195" s="3"/>
    </row>
    <row r="2196" spans="1:4" ht="16.5" customHeight="1">
      <c r="A2196" s="3"/>
      <c r="B2196" s="3"/>
      <c r="C2196" s="3"/>
      <c r="D2196" s="3"/>
    </row>
    <row r="2197" spans="1:4" ht="16.5" customHeight="1">
      <c r="A2197" s="3"/>
      <c r="B2197" s="3"/>
      <c r="C2197" s="3"/>
      <c r="D2197" s="3"/>
    </row>
    <row r="2198" spans="1:4" ht="16.5" customHeight="1">
      <c r="A2198" s="3"/>
      <c r="B2198" s="3"/>
      <c r="C2198" s="3"/>
      <c r="D2198" s="3"/>
    </row>
    <row r="2199" spans="1:4" ht="16.5" customHeight="1">
      <c r="A2199" s="3"/>
      <c r="B2199" s="3"/>
      <c r="C2199" s="3"/>
      <c r="D2199" s="3"/>
    </row>
    <row r="2200" spans="1:4" ht="16.5" customHeight="1">
      <c r="A2200" s="3"/>
      <c r="B2200" s="3"/>
      <c r="C2200" s="3"/>
      <c r="D2200" s="3"/>
    </row>
    <row r="2201" spans="1:4" ht="16.5" customHeight="1">
      <c r="A2201" s="3"/>
      <c r="B2201" s="3"/>
      <c r="C2201" s="3"/>
      <c r="D2201" s="3"/>
    </row>
    <row r="2202" spans="1:4" ht="16.5" customHeight="1">
      <c r="A2202" s="3"/>
      <c r="B2202" s="3"/>
      <c r="C2202" s="3"/>
      <c r="D2202" s="3"/>
    </row>
    <row r="2203" spans="1:4" ht="16.5" customHeight="1">
      <c r="A2203" s="3"/>
      <c r="B2203" s="3"/>
      <c r="C2203" s="3"/>
      <c r="D2203" s="3"/>
    </row>
    <row r="2204" spans="1:4" ht="16.5" customHeight="1">
      <c r="A2204" s="3"/>
      <c r="B2204" s="3"/>
      <c r="C2204" s="3"/>
      <c r="D2204" s="3"/>
    </row>
    <row r="2205" spans="1:4" ht="16.5" customHeight="1">
      <c r="A2205" s="3"/>
      <c r="B2205" s="3"/>
      <c r="C2205" s="3"/>
      <c r="D2205" s="3"/>
    </row>
    <row r="2206" spans="1:4" ht="16.5" customHeight="1">
      <c r="A2206" s="3"/>
      <c r="B2206" s="3"/>
      <c r="C2206" s="3"/>
      <c r="D2206" s="3"/>
    </row>
    <row r="2207" spans="1:4" ht="16.5" customHeight="1">
      <c r="A2207" s="3"/>
      <c r="B2207" s="3"/>
      <c r="C2207" s="3"/>
      <c r="D2207" s="3"/>
    </row>
    <row r="2208" spans="1:4" ht="16.5" customHeight="1">
      <c r="A2208" s="3"/>
      <c r="B2208" s="3"/>
      <c r="C2208" s="3"/>
      <c r="D2208" s="3"/>
    </row>
    <row r="2209" spans="1:4" ht="16.5" customHeight="1">
      <c r="A2209" s="3"/>
      <c r="B2209" s="3"/>
      <c r="C2209" s="3"/>
      <c r="D2209" s="3"/>
    </row>
    <row r="2210" spans="1:4" ht="16.5" customHeight="1">
      <c r="A2210" s="3"/>
      <c r="B2210" s="3"/>
      <c r="C2210" s="3"/>
      <c r="D2210" s="3"/>
    </row>
    <row r="2211" spans="1:4" ht="16.5" customHeight="1">
      <c r="A2211" s="3"/>
      <c r="B2211" s="3"/>
      <c r="C2211" s="3"/>
      <c r="D2211" s="3"/>
    </row>
    <row r="2212" spans="1:4" ht="16.5" customHeight="1">
      <c r="A2212" s="3"/>
      <c r="B2212" s="3"/>
      <c r="C2212" s="3"/>
      <c r="D2212" s="3"/>
    </row>
    <row r="2213" spans="1:4" ht="16.5" customHeight="1">
      <c r="A2213" s="3"/>
      <c r="B2213" s="3"/>
      <c r="C2213" s="3"/>
      <c r="D2213" s="3"/>
    </row>
    <row r="2214" spans="1:4" ht="16.5" customHeight="1">
      <c r="A2214" s="3"/>
      <c r="B2214" s="3"/>
      <c r="C2214" s="3"/>
      <c r="D2214" s="3"/>
    </row>
    <row r="2215" spans="1:4" ht="16.5" customHeight="1">
      <c r="A2215" s="3"/>
      <c r="B2215" s="3"/>
      <c r="C2215" s="3"/>
      <c r="D2215" s="3"/>
    </row>
    <row r="2216" spans="1:4" ht="16.5" customHeight="1">
      <c r="A2216" s="3"/>
      <c r="B2216" s="3"/>
      <c r="C2216" s="3"/>
      <c r="D2216" s="3"/>
    </row>
    <row r="2217" spans="1:4" ht="16.5" customHeight="1">
      <c r="A2217" s="3"/>
      <c r="B2217" s="3"/>
      <c r="C2217" s="3"/>
      <c r="D2217" s="3"/>
    </row>
    <row r="2218" spans="1:4" ht="16.5" customHeight="1">
      <c r="A2218" s="3"/>
      <c r="B2218" s="3"/>
      <c r="C2218" s="3"/>
      <c r="D2218" s="3"/>
    </row>
    <row r="2219" spans="1:4" ht="16.5" customHeight="1">
      <c r="A2219" s="3"/>
      <c r="B2219" s="3"/>
      <c r="C2219" s="3"/>
      <c r="D2219" s="3"/>
    </row>
    <row r="2220" spans="1:4" ht="16.5" customHeight="1">
      <c r="A2220" s="3"/>
      <c r="B2220" s="3"/>
      <c r="C2220" s="3"/>
      <c r="D2220" s="3"/>
    </row>
    <row r="2221" spans="1:4" ht="16.5" customHeight="1">
      <c r="A2221" s="3"/>
      <c r="B2221" s="3"/>
      <c r="C2221" s="3"/>
      <c r="D2221" s="3"/>
    </row>
    <row r="2222" spans="1:4" ht="16.5" customHeight="1">
      <c r="A2222" s="3"/>
      <c r="B2222" s="3"/>
      <c r="C2222" s="3"/>
      <c r="D2222" s="3"/>
    </row>
    <row r="2223" spans="1:4" ht="16.5" customHeight="1">
      <c r="A2223" s="3"/>
      <c r="B2223" s="3"/>
      <c r="C2223" s="3"/>
      <c r="D2223" s="3"/>
    </row>
    <row r="2224" spans="1:4" ht="16.5" customHeight="1">
      <c r="A2224" s="3"/>
      <c r="B2224" s="3"/>
      <c r="C2224" s="3"/>
      <c r="D2224" s="3"/>
    </row>
    <row r="2225" spans="1:4" ht="16.5" customHeight="1">
      <c r="A2225" s="3"/>
      <c r="B2225" s="3"/>
      <c r="C2225" s="3"/>
      <c r="D2225" s="3"/>
    </row>
    <row r="2226" spans="1:4" ht="16.5" customHeight="1">
      <c r="A2226" s="3"/>
      <c r="B2226" s="3"/>
      <c r="C2226" s="3"/>
      <c r="D2226" s="3"/>
    </row>
    <row r="2227" spans="1:4" ht="16.5" customHeight="1">
      <c r="A2227" s="3"/>
      <c r="B2227" s="3"/>
      <c r="C2227" s="3"/>
      <c r="D2227" s="3"/>
    </row>
    <row r="2228" spans="1:4" ht="16.5" customHeight="1">
      <c r="A2228" s="3"/>
      <c r="B2228" s="3"/>
      <c r="C2228" s="3"/>
      <c r="D2228" s="3"/>
    </row>
    <row r="2229" spans="1:4" ht="16.5" customHeight="1">
      <c r="A2229" s="3"/>
      <c r="B2229" s="3"/>
      <c r="C2229" s="3"/>
      <c r="D2229" s="3"/>
    </row>
    <row r="2230" spans="1:4" ht="16.5" customHeight="1">
      <c r="A2230" s="3"/>
      <c r="B2230" s="3"/>
      <c r="C2230" s="3"/>
      <c r="D2230" s="3"/>
    </row>
    <row r="2231" spans="1:4" ht="16.5" customHeight="1">
      <c r="A2231" s="3"/>
      <c r="B2231" s="3"/>
      <c r="C2231" s="3"/>
      <c r="D2231" s="3"/>
    </row>
    <row r="2232" spans="1:4" ht="16.5" customHeight="1">
      <c r="A2232" s="3"/>
      <c r="B2232" s="3"/>
      <c r="C2232" s="3"/>
      <c r="D2232" s="3"/>
    </row>
    <row r="2233" spans="1:4" ht="16.5" customHeight="1">
      <c r="A2233" s="3"/>
      <c r="B2233" s="3"/>
      <c r="C2233" s="3"/>
      <c r="D2233" s="3"/>
    </row>
    <row r="2234" spans="1:4" ht="16.5" customHeight="1">
      <c r="A2234" s="3"/>
      <c r="B2234" s="3"/>
      <c r="C2234" s="3"/>
      <c r="D2234" s="3"/>
    </row>
    <row r="2235" spans="1:4" ht="16.5" customHeight="1">
      <c r="A2235" s="3"/>
      <c r="B2235" s="3"/>
      <c r="C2235" s="3"/>
      <c r="D2235" s="3"/>
    </row>
    <row r="2236" spans="1:4" ht="16.5" customHeight="1">
      <c r="A2236" s="3"/>
      <c r="B2236" s="3"/>
      <c r="C2236" s="3"/>
      <c r="D2236" s="3"/>
    </row>
    <row r="2237" spans="1:4" ht="16.5" customHeight="1">
      <c r="A2237" s="3"/>
      <c r="B2237" s="3"/>
      <c r="C2237" s="3"/>
      <c r="D2237" s="3"/>
    </row>
    <row r="2238" spans="1:4" ht="16.5" customHeight="1">
      <c r="A2238" s="3"/>
      <c r="B2238" s="3"/>
      <c r="C2238" s="3"/>
      <c r="D2238" s="3"/>
    </row>
    <row r="2239" spans="1:4" ht="16.5" customHeight="1">
      <c r="A2239" s="3"/>
      <c r="B2239" s="3"/>
      <c r="C2239" s="3"/>
      <c r="D2239" s="3"/>
    </row>
    <row r="2240" spans="1:4" ht="16.5" customHeight="1">
      <c r="A2240" s="3"/>
      <c r="B2240" s="3"/>
      <c r="C2240" s="3"/>
      <c r="D2240" s="3"/>
    </row>
    <row r="2241" spans="1:4" ht="16.5" customHeight="1">
      <c r="A2241" s="3"/>
      <c r="B2241" s="3"/>
      <c r="C2241" s="3"/>
      <c r="D2241" s="3"/>
    </row>
    <row r="2242" spans="1:4" ht="16.5" customHeight="1">
      <c r="A2242" s="3"/>
      <c r="B2242" s="3"/>
      <c r="C2242" s="3"/>
      <c r="D2242" s="3"/>
    </row>
    <row r="2243" spans="1:4" ht="16.5" customHeight="1">
      <c r="A2243" s="3"/>
      <c r="B2243" s="3"/>
      <c r="C2243" s="3"/>
      <c r="D2243" s="3"/>
    </row>
    <row r="2244" spans="1:4" ht="16.5" customHeight="1">
      <c r="A2244" s="3"/>
      <c r="B2244" s="3"/>
      <c r="C2244" s="3"/>
      <c r="D2244" s="3"/>
    </row>
    <row r="2245" spans="1:4" ht="16.5" customHeight="1">
      <c r="A2245" s="3"/>
      <c r="B2245" s="3"/>
      <c r="C2245" s="3"/>
      <c r="D2245" s="3"/>
    </row>
    <row r="2246" spans="1:4" ht="16.5" customHeight="1">
      <c r="A2246" s="3"/>
      <c r="B2246" s="3"/>
      <c r="C2246" s="3"/>
      <c r="D2246" s="3"/>
    </row>
    <row r="2247" spans="1:4" ht="16.5" customHeight="1">
      <c r="A2247" s="3"/>
      <c r="B2247" s="3"/>
      <c r="C2247" s="3"/>
      <c r="D2247" s="3"/>
    </row>
    <row r="2248" spans="1:4" ht="16.5" customHeight="1">
      <c r="A2248" s="3"/>
      <c r="B2248" s="3"/>
      <c r="C2248" s="3"/>
      <c r="D2248" s="3"/>
    </row>
    <row r="2249" spans="1:4" ht="16.5" customHeight="1">
      <c r="A2249" s="3"/>
      <c r="B2249" s="3"/>
      <c r="C2249" s="3"/>
      <c r="D2249" s="3"/>
    </row>
    <row r="2250" spans="1:4" ht="16.5" customHeight="1">
      <c r="A2250" s="3"/>
      <c r="B2250" s="3"/>
      <c r="C2250" s="3"/>
      <c r="D2250" s="3"/>
    </row>
    <row r="2251" spans="1:4" ht="16.5" customHeight="1">
      <c r="A2251" s="3"/>
      <c r="B2251" s="3"/>
      <c r="C2251" s="3"/>
      <c r="D2251" s="3"/>
    </row>
    <row r="2252" spans="1:4" ht="16.5" customHeight="1">
      <c r="A2252" s="3"/>
      <c r="B2252" s="3"/>
      <c r="C2252" s="3"/>
      <c r="D2252" s="3"/>
    </row>
    <row r="2253" spans="1:4" ht="16.5" customHeight="1">
      <c r="A2253" s="3"/>
      <c r="B2253" s="3"/>
      <c r="C2253" s="3"/>
      <c r="D2253" s="3"/>
    </row>
    <row r="2254" spans="1:4" ht="16.5" customHeight="1">
      <c r="A2254" s="3"/>
      <c r="B2254" s="3"/>
      <c r="C2254" s="3"/>
      <c r="D2254" s="3"/>
    </row>
    <row r="2255" spans="1:4" ht="16.5" customHeight="1">
      <c r="A2255" s="3"/>
      <c r="B2255" s="3"/>
      <c r="C2255" s="3"/>
      <c r="D2255" s="3"/>
    </row>
    <row r="2256" spans="1:4" ht="16.5" customHeight="1">
      <c r="A2256" s="3"/>
      <c r="B2256" s="3"/>
      <c r="C2256" s="3"/>
      <c r="D2256" s="3"/>
    </row>
    <row r="2257" spans="1:4" ht="16.5" customHeight="1">
      <c r="A2257" s="3"/>
      <c r="B2257" s="3"/>
      <c r="C2257" s="3"/>
      <c r="D2257" s="3"/>
    </row>
    <row r="2258" spans="1:4" ht="16.5" customHeight="1">
      <c r="A2258" s="3"/>
      <c r="B2258" s="3"/>
      <c r="C2258" s="3"/>
      <c r="D2258" s="3"/>
    </row>
    <row r="2259" spans="1:4" ht="16.5" customHeight="1">
      <c r="A2259" s="3"/>
      <c r="B2259" s="3"/>
      <c r="C2259" s="3"/>
      <c r="D2259" s="3"/>
    </row>
    <row r="2260" spans="1:4" ht="16.5" customHeight="1">
      <c r="A2260" s="3"/>
      <c r="B2260" s="3"/>
      <c r="C2260" s="3"/>
      <c r="D2260" s="3"/>
    </row>
    <row r="2261" spans="1:4" ht="16.5" customHeight="1">
      <c r="A2261" s="3"/>
      <c r="B2261" s="3"/>
      <c r="C2261" s="3"/>
      <c r="D2261" s="3"/>
    </row>
    <row r="2262" spans="1:4" ht="16.5" customHeight="1">
      <c r="A2262" s="3"/>
      <c r="B2262" s="3"/>
      <c r="C2262" s="3"/>
      <c r="D2262" s="3"/>
    </row>
    <row r="2263" spans="1:4" ht="16.5" customHeight="1">
      <c r="A2263" s="3"/>
      <c r="B2263" s="3"/>
      <c r="C2263" s="3"/>
      <c r="D2263" s="3"/>
    </row>
    <row r="2264" spans="1:4" ht="16.5" customHeight="1">
      <c r="A2264" s="3"/>
      <c r="B2264" s="3"/>
      <c r="C2264" s="3"/>
      <c r="D2264" s="3"/>
    </row>
    <row r="2265" spans="1:4" ht="16.5" customHeight="1">
      <c r="A2265" s="3"/>
      <c r="B2265" s="3"/>
      <c r="C2265" s="3"/>
      <c r="D2265" s="3"/>
    </row>
    <row r="2266" spans="1:4" ht="16.5" customHeight="1">
      <c r="A2266" s="3"/>
      <c r="B2266" s="3"/>
      <c r="C2266" s="3"/>
      <c r="D2266" s="3"/>
    </row>
    <row r="2267" spans="1:4" ht="16.5" customHeight="1">
      <c r="A2267" s="3"/>
      <c r="B2267" s="3"/>
      <c r="C2267" s="3"/>
      <c r="D2267" s="3"/>
    </row>
    <row r="2268" spans="1:4" ht="16.5" customHeight="1">
      <c r="A2268" s="3"/>
      <c r="B2268" s="3"/>
      <c r="C2268" s="3"/>
      <c r="D2268" s="3"/>
    </row>
    <row r="2269" spans="1:4" ht="16.5" customHeight="1">
      <c r="A2269" s="3"/>
      <c r="B2269" s="3"/>
      <c r="C2269" s="3"/>
      <c r="D2269" s="3"/>
    </row>
    <row r="2270" spans="1:4" ht="16.5" customHeight="1">
      <c r="A2270" s="3"/>
      <c r="B2270" s="3"/>
      <c r="C2270" s="3"/>
      <c r="D2270" s="3"/>
    </row>
    <row r="2271" spans="1:4" ht="16.5" customHeight="1">
      <c r="A2271" s="3"/>
      <c r="B2271" s="3"/>
      <c r="C2271" s="3"/>
      <c r="D2271" s="3"/>
    </row>
    <row r="2272" spans="1:4" ht="16.5" customHeight="1">
      <c r="A2272" s="3"/>
      <c r="B2272" s="3"/>
      <c r="C2272" s="3"/>
      <c r="D2272" s="3"/>
    </row>
    <row r="2273" spans="1:4" ht="16.5" customHeight="1">
      <c r="A2273" s="3"/>
      <c r="B2273" s="3"/>
      <c r="C2273" s="3"/>
      <c r="D2273" s="3"/>
    </row>
    <row r="2274" spans="1:4" ht="16.5" customHeight="1">
      <c r="A2274" s="3"/>
      <c r="B2274" s="3"/>
      <c r="C2274" s="3"/>
      <c r="D2274" s="3"/>
    </row>
    <row r="2275" spans="1:4" ht="16.5" customHeight="1">
      <c r="A2275" s="3"/>
      <c r="B2275" s="3"/>
      <c r="C2275" s="3"/>
      <c r="D2275" s="3"/>
    </row>
    <row r="2276" spans="1:4" ht="16.5" customHeight="1">
      <c r="A2276" s="3"/>
      <c r="B2276" s="3"/>
      <c r="C2276" s="3"/>
      <c r="D2276" s="3"/>
    </row>
    <row r="2277" spans="1:4" ht="16.5" customHeight="1">
      <c r="A2277" s="3"/>
      <c r="B2277" s="3"/>
      <c r="C2277" s="3"/>
      <c r="D2277" s="3"/>
    </row>
    <row r="2278" spans="1:4" ht="16.5" customHeight="1">
      <c r="A2278" s="3"/>
      <c r="B2278" s="3"/>
      <c r="C2278" s="3"/>
      <c r="D2278" s="3"/>
    </row>
    <row r="2279" spans="1:4" ht="16.5" customHeight="1">
      <c r="A2279" s="3"/>
      <c r="B2279" s="3"/>
      <c r="C2279" s="3"/>
      <c r="D2279" s="3"/>
    </row>
    <row r="2280" spans="1:4" ht="16.5" customHeight="1">
      <c r="A2280" s="3"/>
      <c r="B2280" s="3"/>
      <c r="C2280" s="3"/>
      <c r="D2280" s="3"/>
    </row>
    <row r="2281" spans="1:4" ht="16.5" customHeight="1">
      <c r="A2281" s="3"/>
      <c r="B2281" s="3"/>
      <c r="C2281" s="3"/>
      <c r="D2281" s="3"/>
    </row>
    <row r="2282" spans="1:4" ht="16.5" customHeight="1">
      <c r="A2282" s="3"/>
      <c r="B2282" s="3"/>
      <c r="C2282" s="3"/>
      <c r="D2282" s="3"/>
    </row>
    <row r="2283" spans="1:4" ht="16.5" customHeight="1">
      <c r="A2283" s="3"/>
      <c r="B2283" s="3"/>
      <c r="C2283" s="3"/>
      <c r="D2283" s="3"/>
    </row>
    <row r="2284" spans="1:4" ht="16.5" customHeight="1">
      <c r="A2284" s="3"/>
      <c r="B2284" s="3"/>
      <c r="C2284" s="3"/>
      <c r="D2284" s="3"/>
    </row>
    <row r="2285" spans="1:4" ht="16.5" customHeight="1">
      <c r="A2285" s="3"/>
      <c r="B2285" s="3"/>
      <c r="C2285" s="3"/>
      <c r="D2285" s="3"/>
    </row>
    <row r="2286" spans="1:4" ht="16.5" customHeight="1">
      <c r="A2286" s="3"/>
      <c r="B2286" s="3"/>
      <c r="C2286" s="3"/>
      <c r="D2286" s="3"/>
    </row>
    <row r="2287" spans="1:4" ht="16.5" customHeight="1">
      <c r="A2287" s="3"/>
      <c r="B2287" s="3"/>
      <c r="C2287" s="3"/>
      <c r="D2287" s="3"/>
    </row>
    <row r="2288" spans="1:4" ht="16.5" customHeight="1">
      <c r="A2288" s="3"/>
      <c r="B2288" s="3"/>
      <c r="C2288" s="3"/>
      <c r="D2288" s="3"/>
    </row>
    <row r="2289" spans="1:4" ht="16.5" customHeight="1">
      <c r="A2289" s="3"/>
      <c r="B2289" s="3"/>
      <c r="C2289" s="3"/>
      <c r="D2289" s="3"/>
    </row>
    <row r="2290" spans="1:4" ht="16.5" customHeight="1">
      <c r="A2290" s="3"/>
      <c r="B2290" s="3"/>
      <c r="C2290" s="3"/>
      <c r="D2290" s="3"/>
    </row>
    <row r="2291" spans="1:4" ht="16.5" customHeight="1">
      <c r="A2291" s="3"/>
      <c r="B2291" s="3"/>
      <c r="C2291" s="3"/>
      <c r="D2291" s="3"/>
    </row>
    <row r="2292" spans="1:4" ht="16.5" customHeight="1">
      <c r="A2292" s="3"/>
      <c r="B2292" s="3"/>
      <c r="C2292" s="3"/>
      <c r="D2292" s="3"/>
    </row>
    <row r="2293" spans="1:4" ht="16.5" customHeight="1">
      <c r="A2293" s="3"/>
      <c r="B2293" s="3"/>
      <c r="C2293" s="3"/>
      <c r="D2293" s="3"/>
    </row>
    <row r="2294" spans="1:4" ht="16.5" customHeight="1">
      <c r="A2294" s="3"/>
      <c r="B2294" s="3"/>
      <c r="C2294" s="3"/>
      <c r="D2294" s="3"/>
    </row>
    <row r="2295" spans="1:4" ht="16.5" customHeight="1">
      <c r="A2295" s="3"/>
      <c r="B2295" s="3"/>
      <c r="C2295" s="3"/>
      <c r="D2295" s="3"/>
    </row>
    <row r="2296" spans="1:4" ht="16.5" customHeight="1">
      <c r="A2296" s="3"/>
      <c r="B2296" s="3"/>
      <c r="C2296" s="3"/>
      <c r="D2296" s="3"/>
    </row>
    <row r="2297" spans="1:4" ht="16.5" customHeight="1">
      <c r="A2297" s="3"/>
      <c r="B2297" s="3"/>
      <c r="C2297" s="3"/>
      <c r="D2297" s="3"/>
    </row>
    <row r="2298" spans="1:4" ht="16.5" customHeight="1">
      <c r="A2298" s="3"/>
      <c r="B2298" s="3"/>
      <c r="C2298" s="3"/>
      <c r="D2298" s="3"/>
    </row>
    <row r="2299" spans="1:4" ht="16.5" customHeight="1">
      <c r="A2299" s="3"/>
      <c r="B2299" s="3"/>
      <c r="C2299" s="3"/>
      <c r="D2299" s="3"/>
    </row>
    <row r="2300" spans="1:4" ht="16.5" customHeight="1">
      <c r="A2300" s="3"/>
      <c r="B2300" s="3"/>
      <c r="C2300" s="3"/>
      <c r="D2300" s="3"/>
    </row>
    <row r="2301" spans="1:4" ht="16.5" customHeight="1">
      <c r="A2301" s="3"/>
      <c r="B2301" s="3"/>
      <c r="C2301" s="3"/>
      <c r="D2301" s="3"/>
    </row>
    <row r="2302" spans="1:4" ht="16.5" customHeight="1">
      <c r="A2302" s="3"/>
      <c r="B2302" s="3"/>
      <c r="C2302" s="3"/>
      <c r="D2302" s="3"/>
    </row>
    <row r="2303" spans="1:4" ht="16.5" customHeight="1">
      <c r="A2303" s="3"/>
      <c r="B2303" s="3"/>
      <c r="C2303" s="3"/>
      <c r="D2303" s="3"/>
    </row>
    <row r="2304" spans="1:4" ht="16.5" customHeight="1">
      <c r="A2304" s="3"/>
      <c r="B2304" s="3"/>
      <c r="C2304" s="3"/>
      <c r="D2304" s="3"/>
    </row>
    <row r="2305" spans="1:4" ht="16.5" customHeight="1">
      <c r="A2305" s="3"/>
      <c r="B2305" s="3"/>
      <c r="C2305" s="3"/>
      <c r="D2305" s="3"/>
    </row>
    <row r="2306" spans="1:4" ht="16.5" customHeight="1">
      <c r="A2306" s="3"/>
      <c r="B2306" s="3"/>
      <c r="C2306" s="3"/>
      <c r="D2306" s="3"/>
    </row>
    <row r="2307" spans="1:4" ht="16.5" customHeight="1">
      <c r="A2307" s="3"/>
      <c r="B2307" s="3"/>
      <c r="C2307" s="3"/>
      <c r="D2307" s="3"/>
    </row>
    <row r="2308" spans="1:4" ht="16.5" customHeight="1">
      <c r="A2308" s="3"/>
      <c r="B2308" s="3"/>
      <c r="C2308" s="3"/>
      <c r="D2308" s="3"/>
    </row>
    <row r="2309" spans="1:4" ht="16.5" customHeight="1">
      <c r="A2309" s="3"/>
      <c r="B2309" s="3"/>
      <c r="C2309" s="3"/>
      <c r="D2309" s="3"/>
    </row>
    <row r="2310" spans="1:4" ht="16.5" customHeight="1">
      <c r="A2310" s="3"/>
      <c r="B2310" s="3"/>
      <c r="C2310" s="3"/>
      <c r="D2310" s="3"/>
    </row>
    <row r="2311" spans="1:4" ht="16.5" customHeight="1">
      <c r="A2311" s="3"/>
      <c r="B2311" s="3"/>
      <c r="C2311" s="3"/>
      <c r="D2311" s="3"/>
    </row>
    <row r="2312" spans="1:4" ht="16.5" customHeight="1">
      <c r="A2312" s="3"/>
      <c r="B2312" s="3"/>
      <c r="C2312" s="3"/>
      <c r="D2312" s="3"/>
    </row>
    <row r="2313" spans="1:4" ht="16.5" customHeight="1">
      <c r="A2313" s="3"/>
      <c r="B2313" s="3"/>
      <c r="C2313" s="3"/>
      <c r="D2313" s="3"/>
    </row>
    <row r="2314" spans="1:4" ht="16.5" customHeight="1">
      <c r="A2314" s="3"/>
      <c r="B2314" s="3"/>
      <c r="C2314" s="3"/>
      <c r="D2314" s="3"/>
    </row>
    <row r="2315" spans="1:4" ht="16.5" customHeight="1">
      <c r="A2315" s="3"/>
      <c r="B2315" s="3"/>
      <c r="C2315" s="3"/>
      <c r="D2315" s="3"/>
    </row>
    <row r="2316" spans="1:4" ht="16.5" customHeight="1">
      <c r="A2316" s="3"/>
      <c r="B2316" s="3"/>
      <c r="C2316" s="3"/>
      <c r="D2316" s="3"/>
    </row>
    <row r="2317" spans="1:4" ht="16.5" customHeight="1">
      <c r="A2317" s="3"/>
      <c r="B2317" s="3"/>
      <c r="C2317" s="3"/>
      <c r="D2317" s="3"/>
    </row>
    <row r="2318" spans="1:4" ht="16.5" customHeight="1">
      <c r="A2318" s="3"/>
      <c r="B2318" s="3"/>
      <c r="C2318" s="3"/>
      <c r="D2318" s="3"/>
    </row>
    <row r="2319" spans="1:4" ht="16.5" customHeight="1">
      <c r="A2319" s="3"/>
      <c r="B2319" s="3"/>
      <c r="C2319" s="3"/>
      <c r="D2319" s="3"/>
    </row>
    <row r="2320" spans="1:4" ht="16.5" customHeight="1">
      <c r="A2320" s="3"/>
      <c r="B2320" s="3"/>
      <c r="C2320" s="3"/>
      <c r="D2320" s="3"/>
    </row>
    <row r="2321" spans="1:4" ht="16.5" customHeight="1">
      <c r="A2321" s="3"/>
      <c r="B2321" s="3"/>
      <c r="C2321" s="3"/>
      <c r="D2321" s="3"/>
    </row>
    <row r="2322" spans="1:4" ht="16.5" customHeight="1">
      <c r="A2322" s="3"/>
      <c r="B2322" s="3"/>
      <c r="C2322" s="3"/>
      <c r="D2322" s="3"/>
    </row>
    <row r="2323" spans="1:4" ht="16.5" customHeight="1">
      <c r="A2323" s="3"/>
      <c r="B2323" s="3"/>
      <c r="C2323" s="3"/>
      <c r="D2323" s="3"/>
    </row>
    <row r="2324" spans="1:4" ht="16.5" customHeight="1">
      <c r="A2324" s="3"/>
      <c r="B2324" s="3"/>
      <c r="C2324" s="3"/>
      <c r="D2324" s="3"/>
    </row>
    <row r="2325" spans="1:4" ht="16.5" customHeight="1">
      <c r="A2325" s="3"/>
      <c r="B2325" s="3"/>
      <c r="C2325" s="3"/>
      <c r="D2325" s="3"/>
    </row>
    <row r="2326" spans="1:4" ht="16.5" customHeight="1">
      <c r="A2326" s="3"/>
      <c r="B2326" s="3"/>
      <c r="C2326" s="3"/>
      <c r="D2326" s="3"/>
    </row>
    <row r="2327" spans="1:4" ht="16.5" customHeight="1">
      <c r="A2327" s="3"/>
      <c r="B2327" s="3"/>
      <c r="C2327" s="3"/>
      <c r="D2327" s="3"/>
    </row>
    <row r="2328" spans="1:4" ht="16.5" customHeight="1">
      <c r="A2328" s="3"/>
      <c r="B2328" s="3"/>
      <c r="C2328" s="3"/>
      <c r="D2328" s="3"/>
    </row>
    <row r="2329" spans="1:4" ht="16.5" customHeight="1">
      <c r="A2329" s="3"/>
      <c r="B2329" s="3"/>
      <c r="C2329" s="3"/>
      <c r="D2329" s="3"/>
    </row>
    <row r="2330" spans="1:4" ht="16.5" customHeight="1">
      <c r="A2330" s="3"/>
      <c r="B2330" s="3"/>
      <c r="C2330" s="3"/>
      <c r="D2330" s="3"/>
    </row>
    <row r="2331" spans="1:4" ht="16.5" customHeight="1">
      <c r="A2331" s="3"/>
      <c r="B2331" s="3"/>
      <c r="C2331" s="3"/>
      <c r="D2331" s="3"/>
    </row>
    <row r="2332" spans="1:4" ht="16.5" customHeight="1">
      <c r="A2332" s="3"/>
      <c r="B2332" s="3"/>
      <c r="C2332" s="3"/>
      <c r="D2332" s="3"/>
    </row>
    <row r="2333" spans="1:4" ht="16.5" customHeight="1">
      <c r="A2333" s="3"/>
      <c r="B2333" s="3"/>
      <c r="C2333" s="3"/>
      <c r="D2333" s="3"/>
    </row>
    <row r="2334" spans="1:4" ht="16.5" customHeight="1">
      <c r="A2334" s="3"/>
      <c r="B2334" s="3"/>
      <c r="C2334" s="3"/>
      <c r="D2334" s="3"/>
    </row>
    <row r="2335" spans="1:4" ht="16.5" customHeight="1">
      <c r="A2335" s="3"/>
      <c r="B2335" s="3"/>
      <c r="C2335" s="3"/>
      <c r="D2335" s="3"/>
    </row>
    <row r="2336" spans="1:4" ht="16.5" customHeight="1">
      <c r="A2336" s="3"/>
      <c r="B2336" s="3"/>
      <c r="C2336" s="3"/>
      <c r="D2336" s="3"/>
    </row>
    <row r="2337" spans="1:4" ht="16.5" customHeight="1">
      <c r="A2337" s="3"/>
      <c r="B2337" s="3"/>
      <c r="C2337" s="3"/>
      <c r="D2337" s="3"/>
    </row>
    <row r="2338" spans="1:4" ht="16.5" customHeight="1">
      <c r="A2338" s="3"/>
      <c r="B2338" s="3"/>
      <c r="C2338" s="3"/>
      <c r="D2338" s="3"/>
    </row>
    <row r="2339" spans="1:4" ht="16.5" customHeight="1">
      <c r="A2339" s="3"/>
      <c r="B2339" s="3"/>
      <c r="C2339" s="3"/>
      <c r="D2339" s="3"/>
    </row>
    <row r="2340" spans="1:4" ht="16.5" customHeight="1">
      <c r="A2340" s="3"/>
      <c r="B2340" s="3"/>
      <c r="C2340" s="3"/>
      <c r="D2340" s="3"/>
    </row>
    <row r="2341" spans="1:4" ht="16.5" customHeight="1">
      <c r="A2341" s="3"/>
      <c r="B2341" s="3"/>
      <c r="C2341" s="3"/>
      <c r="D2341" s="3"/>
    </row>
    <row r="2342" spans="1:4" ht="16.5" customHeight="1">
      <c r="A2342" s="3"/>
      <c r="B2342" s="3"/>
      <c r="C2342" s="3"/>
      <c r="D2342" s="3"/>
    </row>
    <row r="2343" spans="1:4" ht="16.5" customHeight="1">
      <c r="A2343" s="3"/>
      <c r="B2343" s="3"/>
      <c r="C2343" s="3"/>
      <c r="D2343" s="3"/>
    </row>
    <row r="2344" spans="1:4" ht="16.5" customHeight="1">
      <c r="A2344" s="3"/>
      <c r="B2344" s="3"/>
      <c r="C2344" s="3"/>
      <c r="D2344" s="3"/>
    </row>
    <row r="2345" spans="1:4" ht="16.5" customHeight="1">
      <c r="A2345" s="3"/>
      <c r="B2345" s="3"/>
      <c r="C2345" s="3"/>
      <c r="D2345" s="3"/>
    </row>
    <row r="2346" spans="1:4" ht="16.5" customHeight="1">
      <c r="A2346" s="3"/>
      <c r="B2346" s="3"/>
      <c r="C2346" s="3"/>
      <c r="D2346" s="3"/>
    </row>
    <row r="2347" spans="1:4" ht="16.5" customHeight="1">
      <c r="A2347" s="3"/>
      <c r="B2347" s="3"/>
      <c r="C2347" s="3"/>
      <c r="D2347" s="3"/>
    </row>
    <row r="2348" spans="1:4" ht="16.5" customHeight="1">
      <c r="A2348" s="3"/>
      <c r="B2348" s="3"/>
      <c r="C2348" s="3"/>
      <c r="D2348" s="3"/>
    </row>
    <row r="2349" spans="1:4" ht="16.5" customHeight="1">
      <c r="A2349" s="3"/>
      <c r="B2349" s="3"/>
      <c r="C2349" s="3"/>
      <c r="D2349" s="3"/>
    </row>
    <row r="2350" spans="1:4" ht="16.5" customHeight="1">
      <c r="A2350" s="3"/>
      <c r="B2350" s="3"/>
      <c r="C2350" s="3"/>
      <c r="D2350" s="3"/>
    </row>
    <row r="2351" spans="1:4" ht="16.5" customHeight="1">
      <c r="A2351" s="3"/>
      <c r="B2351" s="3"/>
      <c r="C2351" s="3"/>
      <c r="D2351" s="3"/>
    </row>
    <row r="2352" spans="1:4" ht="16.5" customHeight="1">
      <c r="A2352" s="3"/>
      <c r="B2352" s="3"/>
      <c r="C2352" s="3"/>
      <c r="D2352" s="3"/>
    </row>
    <row r="2353" spans="1:4" ht="16.5" customHeight="1">
      <c r="A2353" s="3"/>
      <c r="B2353" s="3"/>
      <c r="C2353" s="3"/>
      <c r="D2353" s="3"/>
    </row>
    <row r="2354" spans="1:4" ht="16.5" customHeight="1">
      <c r="A2354" s="3"/>
      <c r="B2354" s="3"/>
      <c r="C2354" s="3"/>
      <c r="D2354" s="3"/>
    </row>
    <row r="2355" spans="1:4" ht="16.5" customHeight="1">
      <c r="A2355" s="3"/>
      <c r="B2355" s="3"/>
      <c r="C2355" s="3"/>
      <c r="D2355" s="3"/>
    </row>
    <row r="2356" spans="1:4" ht="16.5" customHeight="1">
      <c r="A2356" s="3"/>
      <c r="B2356" s="3"/>
      <c r="C2356" s="3"/>
      <c r="D2356" s="3"/>
    </row>
    <row r="2357" spans="1:4" ht="16.5" customHeight="1">
      <c r="A2357" s="3"/>
      <c r="B2357" s="3"/>
      <c r="C2357" s="3"/>
      <c r="D2357" s="3"/>
    </row>
    <row r="2358" spans="1:4" ht="16.5" customHeight="1">
      <c r="A2358" s="3"/>
      <c r="B2358" s="3"/>
      <c r="C2358" s="3"/>
      <c r="D2358" s="3"/>
    </row>
    <row r="2359" spans="1:4" ht="16.5" customHeight="1">
      <c r="A2359" s="3"/>
      <c r="B2359" s="3"/>
      <c r="C2359" s="3"/>
      <c r="D2359" s="3"/>
    </row>
    <row r="2360" spans="1:4" ht="16.5" customHeight="1">
      <c r="A2360" s="3"/>
      <c r="B2360" s="3"/>
      <c r="C2360" s="3"/>
      <c r="D2360" s="3"/>
    </row>
    <row r="2361" spans="1:4" ht="16.5" customHeight="1">
      <c r="A2361" s="3"/>
      <c r="B2361" s="3"/>
      <c r="C2361" s="3"/>
      <c r="D2361" s="3"/>
    </row>
    <row r="2362" spans="1:4" ht="16.5" customHeight="1">
      <c r="A2362" s="3"/>
      <c r="B2362" s="3"/>
      <c r="C2362" s="3"/>
      <c r="D2362" s="3"/>
    </row>
    <row r="2363" spans="1:4" ht="16.5" customHeight="1">
      <c r="A2363" s="3"/>
      <c r="B2363" s="3"/>
      <c r="C2363" s="3"/>
      <c r="D2363" s="3"/>
    </row>
    <row r="2364" spans="1:4" ht="16.5" customHeight="1">
      <c r="A2364" s="3"/>
      <c r="B2364" s="3"/>
      <c r="C2364" s="3"/>
      <c r="D2364" s="3"/>
    </row>
    <row r="2365" spans="1:4" ht="16.5" customHeight="1">
      <c r="A2365" s="3"/>
      <c r="B2365" s="3"/>
      <c r="C2365" s="3"/>
      <c r="D2365" s="3"/>
    </row>
    <row r="2366" spans="1:4" ht="16.5" customHeight="1">
      <c r="A2366" s="3"/>
      <c r="B2366" s="3"/>
      <c r="C2366" s="3"/>
      <c r="D2366" s="3"/>
    </row>
    <row r="2367" spans="1:4" ht="16.5" customHeight="1">
      <c r="A2367" s="3"/>
      <c r="B2367" s="3"/>
      <c r="C2367" s="3"/>
      <c r="D2367" s="3"/>
    </row>
    <row r="2368" spans="1:4" ht="16.5" customHeight="1">
      <c r="A2368" s="3"/>
      <c r="B2368" s="3"/>
      <c r="C2368" s="3"/>
      <c r="D2368" s="3"/>
    </row>
    <row r="2369" spans="1:4" ht="16.5" customHeight="1">
      <c r="A2369" s="3"/>
      <c r="B2369" s="3"/>
      <c r="C2369" s="3"/>
      <c r="D2369" s="3"/>
    </row>
    <row r="2370" spans="1:4" ht="16.5" customHeight="1">
      <c r="A2370" s="3"/>
      <c r="B2370" s="3"/>
      <c r="C2370" s="3"/>
      <c r="D2370" s="3"/>
    </row>
    <row r="2371" spans="1:4" ht="16.5" customHeight="1">
      <c r="A2371" s="3"/>
      <c r="B2371" s="3"/>
      <c r="C2371" s="3"/>
      <c r="D2371" s="3"/>
    </row>
    <row r="2372" spans="1:4" ht="16.5" customHeight="1">
      <c r="A2372" s="3"/>
      <c r="B2372" s="3"/>
      <c r="C2372" s="3"/>
      <c r="D2372" s="3"/>
    </row>
    <row r="2373" spans="1:4" ht="16.5" customHeight="1">
      <c r="A2373" s="3"/>
      <c r="B2373" s="3"/>
      <c r="C2373" s="3"/>
      <c r="D2373" s="3"/>
    </row>
    <row r="2374" spans="1:4" ht="16.5" customHeight="1">
      <c r="A2374" s="3"/>
      <c r="B2374" s="3"/>
      <c r="C2374" s="3"/>
      <c r="D2374" s="3"/>
    </row>
    <row r="2375" spans="1:4" ht="16.5" customHeight="1">
      <c r="A2375" s="3"/>
      <c r="B2375" s="3"/>
      <c r="C2375" s="3"/>
      <c r="D2375" s="3"/>
    </row>
    <row r="2376" spans="1:4" ht="16.5" customHeight="1">
      <c r="A2376" s="3"/>
      <c r="B2376" s="3"/>
      <c r="C2376" s="3"/>
      <c r="D2376" s="3"/>
    </row>
    <row r="2377" spans="1:4" ht="16.5" customHeight="1">
      <c r="A2377" s="3"/>
      <c r="B2377" s="3"/>
      <c r="C2377" s="3"/>
      <c r="D2377" s="3"/>
    </row>
    <row r="2378" spans="1:4" ht="16.5" customHeight="1">
      <c r="A2378" s="3"/>
      <c r="B2378" s="3"/>
      <c r="C2378" s="3"/>
      <c r="D2378" s="3"/>
    </row>
    <row r="2379" spans="1:4" ht="16.5" customHeight="1">
      <c r="A2379" s="3"/>
      <c r="B2379" s="3"/>
      <c r="C2379" s="3"/>
      <c r="D2379" s="3"/>
    </row>
    <row r="2380" spans="1:4" ht="16.5" customHeight="1">
      <c r="A2380" s="3"/>
      <c r="B2380" s="3"/>
      <c r="C2380" s="3"/>
      <c r="D2380" s="3"/>
    </row>
    <row r="2381" spans="1:4" ht="16.5" customHeight="1">
      <c r="A2381" s="3"/>
      <c r="B2381" s="3"/>
      <c r="C2381" s="3"/>
      <c r="D2381" s="3"/>
    </row>
    <row r="2382" spans="1:4" ht="16.5" customHeight="1">
      <c r="A2382" s="3"/>
      <c r="B2382" s="3"/>
      <c r="C2382" s="3"/>
      <c r="D2382" s="3"/>
    </row>
    <row r="2383" spans="1:4" ht="16.5" customHeight="1">
      <c r="A2383" s="3"/>
      <c r="B2383" s="3"/>
      <c r="C2383" s="3"/>
      <c r="D2383" s="3"/>
    </row>
    <row r="2384" spans="1:4" ht="16.5" customHeight="1">
      <c r="A2384" s="3"/>
      <c r="B2384" s="3"/>
      <c r="C2384" s="3"/>
      <c r="D2384" s="3"/>
    </row>
    <row r="2385" spans="1:4" ht="16.5" customHeight="1">
      <c r="A2385" s="3"/>
      <c r="B2385" s="3"/>
      <c r="C2385" s="3"/>
      <c r="D2385" s="3"/>
    </row>
    <row r="2386" spans="1:4" ht="16.5" customHeight="1">
      <c r="A2386" s="3"/>
      <c r="B2386" s="3"/>
      <c r="C2386" s="3"/>
      <c r="D2386" s="3"/>
    </row>
    <row r="2387" spans="1:4" ht="16.5" customHeight="1">
      <c r="A2387" s="3"/>
      <c r="B2387" s="3"/>
      <c r="C2387" s="3"/>
      <c r="D2387" s="3"/>
    </row>
    <row r="2388" spans="1:4" ht="16.5" customHeight="1">
      <c r="A2388" s="3"/>
      <c r="B2388" s="3"/>
      <c r="C2388" s="3"/>
      <c r="D2388" s="3"/>
    </row>
    <row r="2389" spans="1:4" ht="16.5" customHeight="1">
      <c r="A2389" s="3"/>
      <c r="B2389" s="3"/>
      <c r="C2389" s="3"/>
      <c r="D2389" s="3"/>
    </row>
    <row r="2390" spans="1:4" ht="16.5" customHeight="1">
      <c r="A2390" s="3"/>
      <c r="B2390" s="3"/>
      <c r="C2390" s="3"/>
      <c r="D2390" s="3"/>
    </row>
    <row r="2391" spans="1:4" ht="16.5" customHeight="1">
      <c r="A2391" s="3"/>
      <c r="B2391" s="3"/>
      <c r="C2391" s="3"/>
      <c r="D2391" s="3"/>
    </row>
    <row r="2392" spans="1:4" ht="16.5" customHeight="1">
      <c r="A2392" s="3"/>
      <c r="B2392" s="3"/>
      <c r="C2392" s="3"/>
      <c r="D2392" s="3"/>
    </row>
    <row r="2393" spans="1:4" ht="16.5" customHeight="1">
      <c r="A2393" s="3"/>
      <c r="B2393" s="3"/>
      <c r="C2393" s="3"/>
      <c r="D2393" s="3"/>
    </row>
    <row r="2394" spans="1:4" ht="16.5" customHeight="1">
      <c r="A2394" s="3"/>
      <c r="B2394" s="3"/>
      <c r="C2394" s="3"/>
      <c r="D2394" s="3"/>
    </row>
    <row r="2395" spans="1:4" ht="16.5" customHeight="1">
      <c r="A2395" s="3"/>
      <c r="B2395" s="3"/>
      <c r="C2395" s="3"/>
      <c r="D2395" s="3"/>
    </row>
    <row r="2396" spans="1:4" ht="16.5" customHeight="1">
      <c r="A2396" s="3"/>
      <c r="B2396" s="3"/>
      <c r="C2396" s="3"/>
      <c r="D2396" s="3"/>
    </row>
    <row r="2397" spans="1:4" ht="16.5" customHeight="1">
      <c r="A2397" s="3"/>
      <c r="B2397" s="3"/>
      <c r="C2397" s="3"/>
      <c r="D2397" s="3"/>
    </row>
    <row r="2398" spans="1:4" ht="16.5" customHeight="1">
      <c r="A2398" s="3"/>
      <c r="B2398" s="3"/>
      <c r="C2398" s="3"/>
      <c r="D2398" s="3"/>
    </row>
    <row r="2399" spans="1:4" ht="16.5" customHeight="1">
      <c r="A2399" s="3"/>
      <c r="B2399" s="3"/>
      <c r="C2399" s="3"/>
      <c r="D2399" s="3"/>
    </row>
    <row r="2400" spans="1:4" ht="16.5" customHeight="1">
      <c r="A2400" s="3"/>
      <c r="B2400" s="3"/>
      <c r="C2400" s="3"/>
      <c r="D2400" s="3"/>
    </row>
    <row r="2401" spans="1:4" ht="16.5" customHeight="1">
      <c r="A2401" s="3"/>
      <c r="B2401" s="3"/>
      <c r="C2401" s="3"/>
      <c r="D2401" s="3"/>
    </row>
    <row r="2402" spans="1:4" ht="16.5" customHeight="1">
      <c r="A2402" s="3"/>
      <c r="B2402" s="3"/>
      <c r="C2402" s="3"/>
      <c r="D2402" s="3"/>
    </row>
    <row r="2403" spans="1:4" ht="16.5" customHeight="1">
      <c r="A2403" s="3"/>
      <c r="B2403" s="3"/>
      <c r="C2403" s="3"/>
      <c r="D2403" s="3"/>
    </row>
    <row r="2404" spans="1:4" ht="16.5" customHeight="1">
      <c r="A2404" s="3"/>
      <c r="B2404" s="3"/>
      <c r="C2404" s="3"/>
      <c r="D2404" s="3"/>
    </row>
    <row r="2405" spans="1:4" ht="16.5" customHeight="1">
      <c r="A2405" s="3"/>
      <c r="B2405" s="3"/>
      <c r="C2405" s="3"/>
      <c r="D2405" s="3"/>
    </row>
    <row r="2406" spans="1:4" ht="16.5" customHeight="1">
      <c r="A2406" s="3"/>
      <c r="B2406" s="3"/>
      <c r="C2406" s="3"/>
      <c r="D2406" s="3"/>
    </row>
    <row r="2407" spans="1:4" ht="16.5" customHeight="1">
      <c r="A2407" s="3"/>
      <c r="B2407" s="3"/>
      <c r="C2407" s="3"/>
      <c r="D2407" s="3"/>
    </row>
    <row r="2408" spans="1:4" ht="16.5" customHeight="1">
      <c r="A2408" s="3"/>
      <c r="B2408" s="3"/>
      <c r="C2408" s="3"/>
      <c r="D2408" s="3"/>
    </row>
    <row r="2409" spans="1:4" ht="16.5" customHeight="1">
      <c r="A2409" s="3"/>
      <c r="B2409" s="3"/>
      <c r="C2409" s="3"/>
      <c r="D2409" s="3"/>
    </row>
    <row r="2410" spans="1:4" ht="16.5" customHeight="1">
      <c r="A2410" s="3"/>
      <c r="B2410" s="3"/>
      <c r="C2410" s="3"/>
      <c r="D2410" s="3"/>
    </row>
    <row r="2411" spans="1:4" ht="16.5" customHeight="1">
      <c r="A2411" s="3"/>
      <c r="B2411" s="3"/>
      <c r="C2411" s="3"/>
      <c r="D2411" s="3"/>
    </row>
    <row r="2412" spans="1:4" ht="16.5" customHeight="1">
      <c r="A2412" s="3"/>
      <c r="B2412" s="3"/>
      <c r="C2412" s="3"/>
      <c r="D2412" s="3"/>
    </row>
    <row r="2413" spans="1:4" ht="16.5" customHeight="1">
      <c r="A2413" s="3"/>
      <c r="B2413" s="3"/>
      <c r="C2413" s="3"/>
      <c r="D2413" s="3"/>
    </row>
    <row r="2414" spans="1:4" ht="16.5" customHeight="1">
      <c r="A2414" s="3"/>
      <c r="B2414" s="3"/>
      <c r="C2414" s="3"/>
      <c r="D2414" s="3"/>
    </row>
    <row r="2415" spans="1:4" ht="16.5" customHeight="1">
      <c r="A2415" s="3"/>
      <c r="B2415" s="3"/>
      <c r="C2415" s="3"/>
      <c r="D2415" s="3"/>
    </row>
    <row r="2416" spans="1:4" ht="16.5" customHeight="1">
      <c r="A2416" s="3"/>
      <c r="B2416" s="3"/>
      <c r="C2416" s="3"/>
      <c r="D2416" s="3"/>
    </row>
    <row r="2417" spans="1:4" ht="16.5" customHeight="1">
      <c r="A2417" s="3"/>
      <c r="B2417" s="3"/>
      <c r="C2417" s="3"/>
      <c r="D2417" s="3"/>
    </row>
    <row r="2418" spans="1:4" ht="16.5" customHeight="1">
      <c r="A2418" s="3"/>
      <c r="B2418" s="3"/>
      <c r="C2418" s="3"/>
      <c r="D2418" s="3"/>
    </row>
    <row r="2419" spans="1:4" ht="16.5" customHeight="1">
      <c r="A2419" s="3"/>
      <c r="B2419" s="3"/>
      <c r="C2419" s="3"/>
      <c r="D2419" s="3"/>
    </row>
    <row r="2420" spans="1:4" ht="16.5" customHeight="1">
      <c r="A2420" s="3"/>
      <c r="B2420" s="3"/>
      <c r="C2420" s="3"/>
      <c r="D2420" s="3"/>
    </row>
    <row r="2421" spans="1:4" ht="16.5" customHeight="1">
      <c r="A2421" s="3"/>
      <c r="B2421" s="3"/>
      <c r="C2421" s="3"/>
      <c r="D2421" s="3"/>
    </row>
    <row r="2422" spans="1:4" ht="16.5" customHeight="1">
      <c r="A2422" s="3"/>
      <c r="B2422" s="3"/>
      <c r="C2422" s="3"/>
      <c r="D2422" s="3"/>
    </row>
    <row r="2423" spans="1:4" ht="16.5" customHeight="1">
      <c r="A2423" s="3"/>
      <c r="B2423" s="3"/>
      <c r="C2423" s="3"/>
      <c r="D2423" s="3"/>
    </row>
    <row r="2424" spans="1:4" ht="16.5" customHeight="1">
      <c r="A2424" s="3"/>
      <c r="B2424" s="3"/>
      <c r="C2424" s="3"/>
      <c r="D2424" s="3"/>
    </row>
    <row r="2425" spans="1:4" ht="16.5" customHeight="1">
      <c r="A2425" s="3"/>
      <c r="B2425" s="3"/>
      <c r="C2425" s="3"/>
      <c r="D2425" s="3"/>
    </row>
    <row r="2426" spans="1:4" ht="16.5" customHeight="1">
      <c r="A2426" s="3"/>
      <c r="B2426" s="3"/>
      <c r="C2426" s="3"/>
      <c r="D2426" s="3"/>
    </row>
    <row r="2427" spans="1:4" ht="16.5" customHeight="1">
      <c r="A2427" s="3"/>
      <c r="B2427" s="3"/>
      <c r="C2427" s="3"/>
      <c r="D2427" s="3"/>
    </row>
    <row r="2428" spans="1:4" ht="16.5" customHeight="1">
      <c r="A2428" s="3"/>
      <c r="B2428" s="3"/>
      <c r="C2428" s="3"/>
      <c r="D2428" s="3"/>
    </row>
    <row r="2429" spans="1:4" ht="16.5" customHeight="1">
      <c r="A2429" s="3"/>
      <c r="B2429" s="3"/>
      <c r="C2429" s="3"/>
      <c r="D2429" s="3"/>
    </row>
    <row r="2430" spans="1:4" ht="16.5" customHeight="1">
      <c r="A2430" s="3"/>
      <c r="B2430" s="3"/>
      <c r="C2430" s="3"/>
      <c r="D2430" s="3"/>
    </row>
    <row r="2431" spans="1:4" ht="16.5" customHeight="1">
      <c r="A2431" s="3"/>
      <c r="B2431" s="3"/>
      <c r="C2431" s="3"/>
      <c r="D2431" s="3"/>
    </row>
    <row r="2432" spans="1:4" ht="16.5" customHeight="1">
      <c r="A2432" s="3"/>
      <c r="B2432" s="3"/>
      <c r="C2432" s="3"/>
      <c r="D2432" s="3"/>
    </row>
    <row r="2433" spans="1:4" ht="16.5" customHeight="1">
      <c r="A2433" s="3"/>
      <c r="B2433" s="3"/>
      <c r="C2433" s="3"/>
      <c r="D2433" s="3"/>
    </row>
    <row r="2434" spans="1:4" ht="16.5" customHeight="1">
      <c r="A2434" s="3"/>
      <c r="B2434" s="3"/>
      <c r="C2434" s="3"/>
      <c r="D2434" s="3"/>
    </row>
    <row r="2435" spans="1:4" ht="16.5" customHeight="1">
      <c r="A2435" s="3"/>
      <c r="B2435" s="3"/>
      <c r="C2435" s="3"/>
      <c r="D2435" s="3"/>
    </row>
    <row r="2436" spans="1:4" ht="16.5" customHeight="1">
      <c r="A2436" s="3"/>
      <c r="B2436" s="3"/>
      <c r="C2436" s="3"/>
      <c r="D2436" s="3"/>
    </row>
    <row r="2437" spans="1:4" ht="16.5" customHeight="1">
      <c r="A2437" s="3"/>
      <c r="B2437" s="3"/>
      <c r="C2437" s="3"/>
      <c r="D2437" s="3"/>
    </row>
    <row r="2438" spans="1:4" ht="16.5" customHeight="1">
      <c r="A2438" s="3"/>
      <c r="B2438" s="3"/>
      <c r="C2438" s="3"/>
      <c r="D2438" s="3"/>
    </row>
    <row r="2439" spans="1:4" ht="16.5" customHeight="1">
      <c r="A2439" s="3"/>
      <c r="B2439" s="3"/>
      <c r="C2439" s="3"/>
      <c r="D2439" s="3"/>
    </row>
    <row r="2440" spans="1:4" ht="16.5" customHeight="1">
      <c r="A2440" s="3"/>
      <c r="B2440" s="3"/>
      <c r="C2440" s="3"/>
      <c r="D2440" s="3"/>
    </row>
    <row r="2441" spans="1:4" ht="16.5" customHeight="1">
      <c r="A2441" s="3"/>
      <c r="B2441" s="3"/>
      <c r="C2441" s="3"/>
      <c r="D2441" s="3"/>
    </row>
    <row r="2442" spans="1:4" ht="16.5" customHeight="1">
      <c r="A2442" s="3"/>
      <c r="B2442" s="3"/>
      <c r="C2442" s="3"/>
      <c r="D2442" s="3"/>
    </row>
    <row r="2443" spans="1:4" ht="16.5" customHeight="1">
      <c r="A2443" s="3"/>
      <c r="B2443" s="3"/>
      <c r="C2443" s="3"/>
      <c r="D2443" s="3"/>
    </row>
    <row r="2444" spans="1:4" ht="16.5" customHeight="1">
      <c r="A2444" s="3"/>
      <c r="B2444" s="3"/>
      <c r="C2444" s="3"/>
      <c r="D2444" s="3"/>
    </row>
    <row r="2445" spans="1:4" ht="16.5" customHeight="1">
      <c r="A2445" s="3"/>
      <c r="B2445" s="3"/>
      <c r="C2445" s="3"/>
      <c r="D2445" s="3"/>
    </row>
    <row r="2446" spans="1:4" ht="16.5" customHeight="1">
      <c r="A2446" s="3"/>
      <c r="B2446" s="3"/>
      <c r="C2446" s="3"/>
      <c r="D2446" s="3"/>
    </row>
    <row r="2447" spans="1:4" ht="16.5" customHeight="1">
      <c r="A2447" s="3"/>
      <c r="B2447" s="3"/>
      <c r="C2447" s="3"/>
      <c r="D2447" s="3"/>
    </row>
    <row r="2448" spans="1:4" ht="16.5" customHeight="1">
      <c r="A2448" s="3"/>
      <c r="B2448" s="3"/>
      <c r="C2448" s="3"/>
      <c r="D2448" s="3"/>
    </row>
    <row r="2449" spans="1:4" ht="16.5" customHeight="1">
      <c r="A2449" s="3"/>
      <c r="B2449" s="3"/>
      <c r="C2449" s="3"/>
      <c r="D2449" s="3"/>
    </row>
    <row r="2450" spans="1:4" ht="16.5" customHeight="1">
      <c r="A2450" s="3"/>
      <c r="B2450" s="3"/>
      <c r="C2450" s="3"/>
      <c r="D2450" s="3"/>
    </row>
    <row r="2451" spans="1:4" ht="16.5" customHeight="1">
      <c r="A2451" s="3"/>
      <c r="B2451" s="3"/>
      <c r="C2451" s="3"/>
      <c r="D2451" s="3"/>
    </row>
    <row r="2452" spans="1:4" ht="16.5" customHeight="1">
      <c r="A2452" s="3"/>
      <c r="B2452" s="3"/>
      <c r="C2452" s="3"/>
      <c r="D2452" s="3"/>
    </row>
    <row r="2453" spans="1:4" ht="16.5" customHeight="1">
      <c r="A2453" s="3"/>
      <c r="B2453" s="3"/>
      <c r="C2453" s="3"/>
      <c r="D2453" s="3"/>
    </row>
    <row r="2454" spans="1:4" ht="16.5" customHeight="1">
      <c r="A2454" s="3"/>
      <c r="B2454" s="3"/>
      <c r="C2454" s="3"/>
      <c r="D2454" s="3"/>
    </row>
    <row r="2455" spans="1:4" ht="16.5" customHeight="1">
      <c r="A2455" s="3"/>
      <c r="B2455" s="3"/>
      <c r="C2455" s="3"/>
      <c r="D2455" s="3"/>
    </row>
    <row r="2456" spans="1:4" ht="16.5" customHeight="1">
      <c r="A2456" s="3"/>
      <c r="B2456" s="3"/>
      <c r="C2456" s="3"/>
      <c r="D2456" s="3"/>
    </row>
    <row r="2457" spans="1:4" ht="16.5" customHeight="1">
      <c r="A2457" s="3"/>
      <c r="B2457" s="3"/>
      <c r="C2457" s="3"/>
      <c r="D2457" s="3"/>
    </row>
    <row r="2458" spans="1:4" ht="16.5" customHeight="1">
      <c r="A2458" s="3"/>
      <c r="B2458" s="3"/>
      <c r="C2458" s="3"/>
      <c r="D2458" s="3"/>
    </row>
    <row r="2459" spans="1:4" ht="16.5" customHeight="1">
      <c r="A2459" s="3"/>
      <c r="B2459" s="3"/>
      <c r="C2459" s="3"/>
      <c r="D2459" s="3"/>
    </row>
    <row r="2460" spans="1:4" ht="16.5" customHeight="1">
      <c r="A2460" s="3"/>
      <c r="B2460" s="3"/>
      <c r="C2460" s="3"/>
      <c r="D2460" s="3"/>
    </row>
    <row r="2461" spans="1:4" ht="16.5" customHeight="1">
      <c r="A2461" s="3"/>
      <c r="B2461" s="3"/>
      <c r="C2461" s="3"/>
      <c r="D2461" s="3"/>
    </row>
    <row r="2462" spans="1:4" ht="16.5" customHeight="1">
      <c r="A2462" s="3"/>
      <c r="B2462" s="3"/>
      <c r="C2462" s="3"/>
      <c r="D2462" s="3"/>
    </row>
    <row r="2463" spans="1:4" ht="16.5" customHeight="1">
      <c r="A2463" s="3"/>
      <c r="B2463" s="3"/>
      <c r="C2463" s="3"/>
      <c r="D2463" s="3"/>
    </row>
    <row r="2464" spans="1:4" ht="16.5" customHeight="1">
      <c r="A2464" s="3"/>
      <c r="B2464" s="3"/>
      <c r="C2464" s="3"/>
      <c r="D2464" s="3"/>
    </row>
    <row r="2465" spans="1:4" ht="16.5" customHeight="1">
      <c r="A2465" s="3"/>
      <c r="B2465" s="3"/>
      <c r="C2465" s="3"/>
      <c r="D2465" s="3"/>
    </row>
    <row r="2466" spans="1:4" ht="16.5" customHeight="1">
      <c r="A2466" s="3"/>
      <c r="B2466" s="3"/>
      <c r="C2466" s="3"/>
      <c r="D2466" s="3"/>
    </row>
    <row r="2467" spans="1:4" ht="16.5" customHeight="1">
      <c r="A2467" s="3"/>
      <c r="B2467" s="3"/>
      <c r="C2467" s="3"/>
      <c r="D2467" s="3"/>
    </row>
    <row r="2468" spans="1:4" ht="16.5" customHeight="1">
      <c r="A2468" s="3"/>
      <c r="B2468" s="3"/>
      <c r="C2468" s="3"/>
      <c r="D2468" s="3"/>
    </row>
    <row r="2469" spans="1:4" ht="16.5" customHeight="1">
      <c r="A2469" s="3"/>
      <c r="B2469" s="3"/>
      <c r="C2469" s="3"/>
      <c r="D2469" s="3"/>
    </row>
    <row r="2470" spans="1:4" ht="16.5" customHeight="1">
      <c r="A2470" s="3"/>
      <c r="B2470" s="3"/>
      <c r="C2470" s="3"/>
      <c r="D2470" s="3"/>
    </row>
    <row r="2471" spans="1:4" ht="16.5" customHeight="1">
      <c r="A2471" s="3"/>
      <c r="B2471" s="3"/>
      <c r="C2471" s="3"/>
      <c r="D2471" s="3"/>
    </row>
    <row r="2472" spans="1:4" ht="16.5" customHeight="1">
      <c r="A2472" s="3"/>
      <c r="B2472" s="3"/>
      <c r="C2472" s="3"/>
      <c r="D2472" s="3"/>
    </row>
    <row r="2473" spans="1:4" ht="16.5" customHeight="1">
      <c r="A2473" s="3"/>
      <c r="B2473" s="3"/>
      <c r="C2473" s="3"/>
      <c r="D2473" s="3"/>
    </row>
    <row r="2474" spans="1:4" ht="16.5" customHeight="1">
      <c r="A2474" s="3"/>
      <c r="B2474" s="3"/>
      <c r="C2474" s="3"/>
      <c r="D2474" s="3"/>
    </row>
    <row r="2475" spans="1:4" ht="16.5" customHeight="1">
      <c r="A2475" s="3"/>
      <c r="B2475" s="3"/>
      <c r="C2475" s="3"/>
      <c r="D2475" s="3"/>
    </row>
    <row r="2476" spans="1:4" ht="16.5" customHeight="1">
      <c r="A2476" s="3"/>
      <c r="B2476" s="3"/>
      <c r="C2476" s="3"/>
      <c r="D2476" s="3"/>
    </row>
    <row r="2477" spans="1:4" ht="16.5" customHeight="1">
      <c r="A2477" s="3"/>
      <c r="B2477" s="3"/>
      <c r="C2477" s="3"/>
      <c r="D2477" s="3"/>
    </row>
    <row r="2478" spans="1:4" ht="16.5" customHeight="1">
      <c r="A2478" s="3"/>
      <c r="B2478" s="3"/>
      <c r="C2478" s="3"/>
      <c r="D2478" s="3"/>
    </row>
    <row r="2479" spans="1:4" ht="16.5" customHeight="1">
      <c r="A2479" s="3"/>
      <c r="B2479" s="3"/>
      <c r="C2479" s="3"/>
      <c r="D2479" s="3"/>
    </row>
    <row r="2480" spans="1:4" ht="16.5" customHeight="1">
      <c r="A2480" s="3"/>
      <c r="B2480" s="3"/>
      <c r="C2480" s="3"/>
      <c r="D2480" s="3"/>
    </row>
    <row r="2481" spans="1:4" ht="16.5" customHeight="1">
      <c r="A2481" s="3"/>
      <c r="B2481" s="3"/>
      <c r="C2481" s="3"/>
      <c r="D2481" s="3"/>
    </row>
    <row r="2482" spans="1:4" ht="16.5" customHeight="1">
      <c r="A2482" s="3"/>
      <c r="B2482" s="3"/>
      <c r="C2482" s="3"/>
      <c r="D2482" s="3"/>
    </row>
    <row r="2483" spans="1:4" ht="16.5" customHeight="1">
      <c r="A2483" s="3"/>
      <c r="B2483" s="3"/>
      <c r="C2483" s="3"/>
      <c r="D2483" s="3"/>
    </row>
    <row r="2484" spans="1:4" ht="16.5" customHeight="1">
      <c r="A2484" s="3"/>
      <c r="B2484" s="3"/>
      <c r="C2484" s="3"/>
      <c r="D2484" s="3"/>
    </row>
    <row r="2485" spans="1:4" ht="16.5" customHeight="1">
      <c r="A2485" s="3"/>
      <c r="B2485" s="3"/>
      <c r="C2485" s="3"/>
      <c r="D2485" s="3"/>
    </row>
    <row r="2486" spans="1:4" ht="16.5" customHeight="1">
      <c r="A2486" s="3"/>
      <c r="B2486" s="3"/>
      <c r="C2486" s="3"/>
      <c r="D2486" s="3"/>
    </row>
    <row r="2487" spans="1:4" ht="16.5" customHeight="1">
      <c r="A2487" s="3"/>
      <c r="B2487" s="3"/>
      <c r="C2487" s="3"/>
      <c r="D2487" s="3"/>
    </row>
    <row r="2488" spans="1:4" ht="16.5" customHeight="1">
      <c r="A2488" s="3"/>
      <c r="B2488" s="3"/>
      <c r="C2488" s="3"/>
      <c r="D2488" s="3"/>
    </row>
    <row r="2489" spans="1:4" ht="16.5" customHeight="1">
      <c r="A2489" s="3"/>
      <c r="B2489" s="3"/>
      <c r="C2489" s="3"/>
      <c r="D2489" s="3"/>
    </row>
    <row r="2490" spans="1:4" ht="16.5" customHeight="1">
      <c r="A2490" s="3"/>
      <c r="B2490" s="3"/>
      <c r="C2490" s="3"/>
      <c r="D2490" s="3"/>
    </row>
    <row r="2491" spans="1:4" ht="16.5" customHeight="1">
      <c r="A2491" s="3"/>
      <c r="B2491" s="3"/>
      <c r="C2491" s="3"/>
      <c r="D2491" s="3"/>
    </row>
    <row r="2492" spans="1:4" ht="16.5" customHeight="1">
      <c r="A2492" s="3"/>
      <c r="B2492" s="3"/>
      <c r="C2492" s="3"/>
      <c r="D2492" s="3"/>
    </row>
    <row r="2493" spans="1:4" ht="16.5" customHeight="1">
      <c r="A2493" s="3"/>
      <c r="B2493" s="3"/>
      <c r="C2493" s="3"/>
      <c r="D2493" s="3"/>
    </row>
    <row r="2494" spans="1:4" ht="16.5" customHeight="1">
      <c r="A2494" s="3"/>
      <c r="B2494" s="3"/>
      <c r="C2494" s="3"/>
      <c r="D2494" s="3"/>
    </row>
    <row r="2495" spans="1:4" ht="16.5" customHeight="1">
      <c r="A2495" s="3"/>
      <c r="B2495" s="3"/>
      <c r="C2495" s="3"/>
      <c r="D2495" s="3"/>
    </row>
    <row r="2496" spans="1:4" ht="16.5" customHeight="1">
      <c r="A2496" s="3"/>
      <c r="B2496" s="3"/>
      <c r="C2496" s="3"/>
      <c r="D2496" s="3"/>
    </row>
    <row r="2497" spans="1:4" ht="16.5" customHeight="1">
      <c r="A2497" s="3"/>
      <c r="B2497" s="3"/>
      <c r="C2497" s="3"/>
      <c r="D2497" s="3"/>
    </row>
    <row r="2498" spans="1:4" ht="16.5" customHeight="1">
      <c r="A2498" s="3"/>
      <c r="B2498" s="3"/>
      <c r="C2498" s="3"/>
      <c r="D2498" s="3"/>
    </row>
    <row r="2499" spans="1:4" ht="16.5" customHeight="1">
      <c r="A2499" s="3"/>
      <c r="B2499" s="3"/>
      <c r="C2499" s="3"/>
      <c r="D2499" s="3"/>
    </row>
    <row r="2500" spans="1:4" ht="16.5" customHeight="1">
      <c r="A2500" s="3"/>
      <c r="B2500" s="3"/>
      <c r="C2500" s="3"/>
      <c r="D2500" s="3"/>
    </row>
    <row r="2501" spans="1:4" ht="16.5" customHeight="1">
      <c r="A2501" s="3"/>
      <c r="B2501" s="3"/>
      <c r="C2501" s="3"/>
      <c r="D2501" s="3"/>
    </row>
    <row r="2502" spans="1:4" ht="16.5" customHeight="1">
      <c r="A2502" s="3"/>
      <c r="B2502" s="3"/>
      <c r="C2502" s="3"/>
      <c r="D2502" s="3"/>
    </row>
    <row r="2503" spans="1:4" ht="16.5" customHeight="1">
      <c r="A2503" s="3"/>
      <c r="B2503" s="3"/>
      <c r="C2503" s="3"/>
      <c r="D2503" s="3"/>
    </row>
    <row r="2504" spans="1:4" ht="16.5" customHeight="1">
      <c r="A2504" s="3"/>
      <c r="B2504" s="3"/>
      <c r="C2504" s="3"/>
      <c r="D2504" s="3"/>
    </row>
    <row r="2505" spans="1:4" ht="16.5" customHeight="1">
      <c r="A2505" s="3"/>
      <c r="B2505" s="3"/>
      <c r="C2505" s="3"/>
      <c r="D2505" s="3"/>
    </row>
    <row r="2506" spans="1:4" ht="16.5" customHeight="1">
      <c r="A2506" s="3"/>
      <c r="B2506" s="3"/>
      <c r="C2506" s="3"/>
      <c r="D2506" s="3"/>
    </row>
    <row r="2507" spans="1:4" ht="16.5" customHeight="1">
      <c r="A2507" s="3"/>
      <c r="B2507" s="3"/>
      <c r="C2507" s="3"/>
      <c r="D2507" s="3"/>
    </row>
    <row r="2508" spans="1:4" ht="16.5" customHeight="1">
      <c r="A2508" s="3"/>
      <c r="B2508" s="3"/>
      <c r="C2508" s="3"/>
      <c r="D2508" s="3"/>
    </row>
    <row r="2509" spans="1:4" ht="16.5" customHeight="1">
      <c r="A2509" s="3"/>
      <c r="B2509" s="3"/>
      <c r="C2509" s="3"/>
      <c r="D2509" s="3"/>
    </row>
    <row r="2510" spans="1:4" ht="16.5" customHeight="1">
      <c r="A2510" s="3"/>
      <c r="B2510" s="3"/>
      <c r="C2510" s="3"/>
      <c r="D2510" s="3"/>
    </row>
    <row r="2511" spans="1:4" ht="16.5" customHeight="1">
      <c r="A2511" s="3"/>
      <c r="B2511" s="3"/>
      <c r="C2511" s="3"/>
      <c r="D2511" s="3"/>
    </row>
    <row r="2512" spans="1:4" ht="16.5" customHeight="1">
      <c r="A2512" s="3"/>
      <c r="B2512" s="3"/>
      <c r="C2512" s="3"/>
      <c r="D2512" s="3"/>
    </row>
    <row r="2513" spans="1:4" ht="16.5" customHeight="1">
      <c r="A2513" s="3"/>
      <c r="B2513" s="3"/>
      <c r="C2513" s="3"/>
      <c r="D2513" s="3"/>
    </row>
    <row r="2514" spans="1:4" ht="16.5" customHeight="1">
      <c r="A2514" s="3"/>
      <c r="B2514" s="3"/>
      <c r="C2514" s="3"/>
      <c r="D2514" s="3"/>
    </row>
    <row r="2515" spans="1:4" ht="16.5" customHeight="1">
      <c r="A2515" s="3"/>
      <c r="B2515" s="3"/>
      <c r="C2515" s="3"/>
      <c r="D2515" s="3"/>
    </row>
    <row r="2516" spans="1:4" ht="16.5" customHeight="1">
      <c r="A2516" s="3"/>
      <c r="B2516" s="3"/>
      <c r="C2516" s="3"/>
      <c r="D2516" s="3"/>
    </row>
    <row r="2517" spans="1:4" ht="16.5" customHeight="1">
      <c r="A2517" s="3"/>
      <c r="B2517" s="3"/>
      <c r="C2517" s="3"/>
      <c r="D2517" s="3"/>
    </row>
    <row r="2518" spans="1:4" ht="16.5" customHeight="1">
      <c r="A2518" s="3"/>
      <c r="B2518" s="3"/>
      <c r="C2518" s="3"/>
      <c r="D2518" s="3"/>
    </row>
    <row r="2519" spans="1:4" ht="16.5" customHeight="1">
      <c r="A2519" s="3"/>
      <c r="B2519" s="3"/>
      <c r="C2519" s="3"/>
      <c r="D2519" s="3"/>
    </row>
    <row r="2520" spans="1:4" ht="16.5" customHeight="1">
      <c r="A2520" s="3"/>
      <c r="B2520" s="3"/>
      <c r="C2520" s="3"/>
      <c r="D2520" s="3"/>
    </row>
    <row r="2521" spans="1:4" ht="16.5" customHeight="1">
      <c r="A2521" s="3"/>
      <c r="B2521" s="3"/>
      <c r="C2521" s="3"/>
      <c r="D2521" s="3"/>
    </row>
    <row r="2522" spans="1:4" ht="16.5" customHeight="1">
      <c r="A2522" s="3"/>
      <c r="B2522" s="3"/>
      <c r="C2522" s="3"/>
      <c r="D2522" s="3"/>
    </row>
    <row r="2523" spans="1:4" ht="16.5" customHeight="1">
      <c r="A2523" s="3"/>
      <c r="B2523" s="3"/>
      <c r="C2523" s="3"/>
      <c r="D2523" s="3"/>
    </row>
    <row r="2524" spans="1:4" ht="16.5" customHeight="1">
      <c r="A2524" s="3"/>
      <c r="B2524" s="3"/>
      <c r="C2524" s="3"/>
      <c r="D2524" s="3"/>
    </row>
    <row r="2525" spans="1:4" ht="16.5" customHeight="1">
      <c r="A2525" s="3"/>
      <c r="B2525" s="3"/>
      <c r="C2525" s="3"/>
      <c r="D2525" s="3"/>
    </row>
    <row r="2526" spans="1:4" ht="16.5" customHeight="1">
      <c r="A2526" s="3"/>
      <c r="B2526" s="3"/>
      <c r="C2526" s="3"/>
      <c r="D2526" s="3"/>
    </row>
    <row r="2527" spans="1:4" ht="16.5" customHeight="1">
      <c r="A2527" s="3"/>
      <c r="B2527" s="3"/>
      <c r="C2527" s="3"/>
      <c r="D2527" s="3"/>
    </row>
    <row r="2528" spans="1:4" ht="16.5" customHeight="1">
      <c r="A2528" s="3"/>
      <c r="B2528" s="3"/>
      <c r="C2528" s="3"/>
      <c r="D2528" s="3"/>
    </row>
    <row r="2529" spans="1:4" ht="16.5" customHeight="1">
      <c r="A2529" s="3"/>
      <c r="B2529" s="3"/>
      <c r="C2529" s="3"/>
      <c r="D2529" s="3"/>
    </row>
    <row r="2530" spans="1:4" ht="16.5" customHeight="1">
      <c r="A2530" s="3"/>
      <c r="B2530" s="3"/>
      <c r="C2530" s="3"/>
      <c r="D2530" s="3"/>
    </row>
    <row r="2531" spans="1:4" ht="16.5" customHeight="1">
      <c r="A2531" s="3"/>
      <c r="B2531" s="3"/>
      <c r="C2531" s="3"/>
      <c r="D2531" s="3"/>
    </row>
    <row r="2532" spans="1:4" ht="16.5" customHeight="1">
      <c r="A2532" s="3"/>
      <c r="B2532" s="3"/>
      <c r="C2532" s="3"/>
      <c r="D2532" s="3"/>
    </row>
    <row r="2533" spans="1:4" ht="16.5" customHeight="1">
      <c r="A2533" s="3"/>
      <c r="B2533" s="3"/>
      <c r="C2533" s="3"/>
      <c r="D2533" s="3"/>
    </row>
    <row r="2534" spans="1:4" ht="16.5" customHeight="1">
      <c r="A2534" s="3"/>
      <c r="B2534" s="3"/>
      <c r="C2534" s="3"/>
      <c r="D2534" s="3"/>
    </row>
    <row r="2535" spans="1:4" ht="16.5" customHeight="1">
      <c r="A2535" s="3"/>
      <c r="B2535" s="3"/>
      <c r="C2535" s="3"/>
      <c r="D2535" s="3"/>
    </row>
    <row r="2536" spans="1:4" ht="16.5" customHeight="1">
      <c r="A2536" s="3"/>
      <c r="B2536" s="3"/>
      <c r="C2536" s="3"/>
      <c r="D2536" s="3"/>
    </row>
    <row r="2537" spans="1:4" ht="16.5" customHeight="1">
      <c r="A2537" s="3"/>
      <c r="B2537" s="3"/>
      <c r="C2537" s="3"/>
      <c r="D2537" s="3"/>
    </row>
    <row r="2538" spans="1:4" ht="16.5" customHeight="1">
      <c r="A2538" s="3"/>
      <c r="B2538" s="3"/>
      <c r="C2538" s="3"/>
      <c r="D2538" s="3"/>
    </row>
    <row r="2539" spans="1:4" ht="16.5" customHeight="1">
      <c r="A2539" s="3"/>
      <c r="B2539" s="3"/>
      <c r="C2539" s="3"/>
      <c r="D2539" s="3"/>
    </row>
    <row r="2540" spans="1:4" ht="16.5" customHeight="1">
      <c r="A2540" s="3"/>
      <c r="B2540" s="3"/>
      <c r="C2540" s="3"/>
      <c r="D2540" s="3"/>
    </row>
    <row r="2541" spans="1:4" ht="16.5" customHeight="1">
      <c r="A2541" s="3"/>
      <c r="B2541" s="3"/>
      <c r="C2541" s="3"/>
      <c r="D2541" s="3"/>
    </row>
    <row r="2542" spans="1:4" ht="16.5" customHeight="1">
      <c r="A2542" s="3"/>
      <c r="B2542" s="3"/>
      <c r="C2542" s="3"/>
      <c r="D2542" s="3"/>
    </row>
    <row r="2543" spans="1:4" ht="16.5" customHeight="1">
      <c r="A2543" s="3"/>
      <c r="B2543" s="3"/>
      <c r="C2543" s="3"/>
      <c r="D2543" s="3"/>
    </row>
    <row r="2544" spans="1:4" ht="16.5" customHeight="1">
      <c r="A2544" s="3"/>
      <c r="B2544" s="3"/>
      <c r="C2544" s="3"/>
      <c r="D2544" s="3"/>
    </row>
    <row r="2545" spans="1:4" ht="16.5" customHeight="1">
      <c r="A2545" s="3"/>
      <c r="B2545" s="3"/>
      <c r="C2545" s="3"/>
      <c r="D2545" s="3"/>
    </row>
    <row r="2546" spans="1:4" ht="16.5" customHeight="1">
      <c r="A2546" s="3"/>
      <c r="B2546" s="3"/>
      <c r="C2546" s="3"/>
      <c r="D2546" s="3"/>
    </row>
    <row r="2547" spans="1:4" ht="16.5" customHeight="1">
      <c r="A2547" s="3"/>
      <c r="B2547" s="3"/>
      <c r="C2547" s="3"/>
      <c r="D2547" s="3"/>
    </row>
    <row r="2548" spans="1:4" ht="16.5" customHeight="1">
      <c r="A2548" s="3"/>
      <c r="B2548" s="3"/>
      <c r="C2548" s="3"/>
      <c r="D2548" s="3"/>
    </row>
    <row r="2549" spans="1:4" ht="16.5" customHeight="1">
      <c r="A2549" s="3"/>
      <c r="B2549" s="3"/>
      <c r="C2549" s="3"/>
      <c r="D2549" s="3"/>
    </row>
    <row r="2550" spans="1:4" ht="16.5" customHeight="1">
      <c r="A2550" s="3"/>
      <c r="B2550" s="3"/>
      <c r="C2550" s="3"/>
      <c r="D2550" s="3"/>
    </row>
    <row r="2551" spans="1:4" ht="16.5" customHeight="1">
      <c r="A2551" s="3"/>
      <c r="B2551" s="3"/>
      <c r="C2551" s="3"/>
      <c r="D2551" s="3"/>
    </row>
    <row r="2552" spans="1:4" ht="16.5" customHeight="1">
      <c r="A2552" s="3"/>
      <c r="B2552" s="3"/>
      <c r="C2552" s="3"/>
      <c r="D2552" s="3"/>
    </row>
    <row r="2553" spans="1:4" ht="16.5" customHeight="1">
      <c r="A2553" s="3"/>
      <c r="B2553" s="3"/>
      <c r="C2553" s="3"/>
      <c r="D2553" s="3"/>
    </row>
    <row r="2554" spans="1:4" ht="16.5" customHeight="1">
      <c r="A2554" s="3"/>
      <c r="B2554" s="3"/>
      <c r="C2554" s="3"/>
      <c r="D2554" s="3"/>
    </row>
    <row r="2555" spans="1:4" ht="16.5" customHeight="1">
      <c r="A2555" s="3"/>
      <c r="B2555" s="3"/>
      <c r="C2555" s="3"/>
      <c r="D2555" s="3"/>
    </row>
    <row r="2556" spans="1:4" ht="16.5" customHeight="1">
      <c r="A2556" s="3"/>
      <c r="B2556" s="3"/>
      <c r="C2556" s="3"/>
      <c r="D2556" s="3"/>
    </row>
    <row r="2557" spans="1:4" ht="16.5" customHeight="1">
      <c r="A2557" s="3"/>
      <c r="B2557" s="3"/>
      <c r="C2557" s="3"/>
      <c r="D2557" s="3"/>
    </row>
    <row r="2558" spans="1:4" ht="16.5" customHeight="1">
      <c r="A2558" s="3"/>
      <c r="B2558" s="3"/>
      <c r="C2558" s="3"/>
      <c r="D2558" s="3"/>
    </row>
    <row r="2559" spans="1:4" ht="16.5" customHeight="1">
      <c r="A2559" s="3"/>
      <c r="B2559" s="3"/>
      <c r="C2559" s="3"/>
      <c r="D2559" s="3"/>
    </row>
    <row r="2560" spans="1:4" ht="16.5" customHeight="1">
      <c r="A2560" s="3"/>
      <c r="B2560" s="3"/>
      <c r="C2560" s="3"/>
      <c r="D2560" s="3"/>
    </row>
    <row r="2561" spans="1:4" ht="16.5" customHeight="1">
      <c r="A2561" s="3"/>
      <c r="B2561" s="3"/>
      <c r="C2561" s="3"/>
      <c r="D2561" s="3"/>
    </row>
    <row r="2562" spans="1:4" ht="16.5" customHeight="1">
      <c r="A2562" s="3"/>
      <c r="B2562" s="3"/>
      <c r="C2562" s="3"/>
      <c r="D2562" s="3"/>
    </row>
    <row r="2563" spans="1:4" ht="16.5" customHeight="1">
      <c r="A2563" s="3"/>
      <c r="B2563" s="3"/>
      <c r="C2563" s="3"/>
      <c r="D2563" s="3"/>
    </row>
    <row r="2564" spans="1:4" ht="16.5" customHeight="1">
      <c r="A2564" s="3"/>
      <c r="B2564" s="3"/>
      <c r="C2564" s="3"/>
      <c r="D2564" s="3"/>
    </row>
    <row r="2565" spans="1:4" ht="16.5" customHeight="1">
      <c r="A2565" s="3"/>
      <c r="B2565" s="3"/>
      <c r="C2565" s="3"/>
      <c r="D2565" s="3"/>
    </row>
    <row r="2566" spans="1:4" ht="16.5" customHeight="1">
      <c r="A2566" s="3"/>
      <c r="B2566" s="3"/>
      <c r="C2566" s="3"/>
      <c r="D2566" s="3"/>
    </row>
    <row r="2567" spans="1:4" ht="16.5" customHeight="1">
      <c r="A2567" s="3"/>
      <c r="B2567" s="3"/>
      <c r="C2567" s="3"/>
      <c r="D2567" s="3"/>
    </row>
    <row r="2568" spans="1:4" ht="16.5" customHeight="1">
      <c r="A2568" s="3"/>
      <c r="B2568" s="3"/>
      <c r="C2568" s="3"/>
      <c r="D2568" s="3"/>
    </row>
    <row r="2569" spans="1:4" ht="16.5" customHeight="1">
      <c r="A2569" s="3"/>
      <c r="B2569" s="3"/>
      <c r="C2569" s="3"/>
      <c r="D2569" s="3"/>
    </row>
    <row r="2570" spans="1:4" ht="16.5" customHeight="1">
      <c r="A2570" s="3"/>
      <c r="B2570" s="3"/>
      <c r="C2570" s="3"/>
      <c r="D2570" s="3"/>
    </row>
    <row r="2571" spans="1:4" ht="16.5" customHeight="1">
      <c r="A2571" s="3"/>
      <c r="B2571" s="3"/>
      <c r="C2571" s="3"/>
      <c r="D2571" s="3"/>
    </row>
    <row r="2572" spans="1:4" ht="16.5" customHeight="1">
      <c r="A2572" s="3"/>
      <c r="B2572" s="3"/>
      <c r="C2572" s="3"/>
      <c r="D2572" s="3"/>
    </row>
    <row r="2573" spans="1:4" ht="16.5" customHeight="1">
      <c r="A2573" s="3"/>
      <c r="B2573" s="3"/>
      <c r="C2573" s="3"/>
      <c r="D2573" s="3"/>
    </row>
    <row r="2574" spans="1:4" ht="16.5" customHeight="1">
      <c r="A2574" s="3"/>
      <c r="B2574" s="3"/>
      <c r="C2574" s="3"/>
      <c r="D2574" s="3"/>
    </row>
    <row r="2575" spans="1:4" ht="16.5" customHeight="1">
      <c r="A2575" s="3"/>
      <c r="B2575" s="3"/>
      <c r="C2575" s="3"/>
      <c r="D2575" s="3"/>
    </row>
    <row r="2576" spans="1:4" ht="16.5" customHeight="1">
      <c r="A2576" s="3"/>
      <c r="B2576" s="3"/>
      <c r="C2576" s="3"/>
      <c r="D2576" s="3"/>
    </row>
    <row r="2577" spans="1:4" ht="16.5" customHeight="1">
      <c r="A2577" s="3"/>
      <c r="B2577" s="3"/>
      <c r="C2577" s="3"/>
      <c r="D2577" s="3"/>
    </row>
    <row r="2578" spans="1:4" ht="16.5" customHeight="1">
      <c r="A2578" s="3"/>
      <c r="B2578" s="3"/>
      <c r="C2578" s="3"/>
      <c r="D2578" s="3"/>
    </row>
    <row r="2579" spans="1:4" ht="16.5" customHeight="1">
      <c r="A2579" s="3"/>
      <c r="B2579" s="3"/>
      <c r="C2579" s="3"/>
      <c r="D2579" s="3"/>
    </row>
    <row r="2580" spans="1:4" ht="16.5" customHeight="1">
      <c r="A2580" s="3"/>
      <c r="B2580" s="3"/>
      <c r="C2580" s="3"/>
      <c r="D2580" s="3"/>
    </row>
    <row r="2581" spans="1:4" ht="16.5" customHeight="1">
      <c r="A2581" s="3"/>
      <c r="B2581" s="3"/>
      <c r="C2581" s="3"/>
      <c r="D2581" s="3"/>
    </row>
    <row r="2582" spans="1:4" ht="16.5" customHeight="1">
      <c r="A2582" s="3"/>
      <c r="B2582" s="3"/>
      <c r="C2582" s="3"/>
      <c r="D2582" s="3"/>
    </row>
    <row r="2583" spans="1:4" ht="16.5" customHeight="1">
      <c r="A2583" s="3"/>
      <c r="B2583" s="3"/>
      <c r="C2583" s="3"/>
      <c r="D2583" s="3"/>
    </row>
    <row r="2584" spans="1:4" ht="16.5" customHeight="1">
      <c r="A2584" s="3"/>
      <c r="B2584" s="3"/>
      <c r="C2584" s="3"/>
      <c r="D2584" s="3"/>
    </row>
    <row r="2585" spans="1:4" ht="16.5" customHeight="1">
      <c r="A2585" s="3"/>
      <c r="B2585" s="3"/>
      <c r="C2585" s="3"/>
      <c r="D2585" s="3"/>
    </row>
    <row r="2586" spans="1:4" ht="16.5" customHeight="1">
      <c r="A2586" s="3"/>
      <c r="B2586" s="3"/>
      <c r="C2586" s="3"/>
      <c r="D2586" s="3"/>
    </row>
    <row r="2587" spans="1:4" ht="16.5" customHeight="1">
      <c r="A2587" s="3"/>
      <c r="B2587" s="3"/>
      <c r="C2587" s="3"/>
      <c r="D2587" s="3"/>
    </row>
    <row r="2588" spans="1:4" ht="16.5" customHeight="1">
      <c r="A2588" s="3"/>
      <c r="B2588" s="3"/>
      <c r="C2588" s="3"/>
      <c r="D2588" s="3"/>
    </row>
    <row r="2589" spans="1:4" ht="16.5" customHeight="1">
      <c r="A2589" s="3"/>
      <c r="B2589" s="3"/>
      <c r="C2589" s="3"/>
      <c r="D2589" s="3"/>
    </row>
    <row r="2590" spans="1:4" ht="16.5" customHeight="1">
      <c r="A2590" s="3"/>
      <c r="B2590" s="3"/>
      <c r="C2590" s="3"/>
      <c r="D2590" s="3"/>
    </row>
    <row r="2591" spans="1:4" ht="16.5" customHeight="1">
      <c r="A2591" s="3"/>
      <c r="B2591" s="3"/>
      <c r="C2591" s="3"/>
      <c r="D2591" s="3"/>
    </row>
    <row r="2592" spans="1:4" ht="16.5" customHeight="1">
      <c r="A2592" s="3"/>
      <c r="B2592" s="3"/>
      <c r="C2592" s="3"/>
      <c r="D2592" s="3"/>
    </row>
    <row r="2593" spans="1:4" ht="16.5" customHeight="1">
      <c r="A2593" s="3"/>
      <c r="B2593" s="3"/>
      <c r="C2593" s="3"/>
      <c r="D2593" s="3"/>
    </row>
    <row r="2594" spans="1:4" ht="16.5" customHeight="1">
      <c r="A2594" s="3"/>
      <c r="B2594" s="3"/>
      <c r="C2594" s="3"/>
      <c r="D2594" s="3"/>
    </row>
    <row r="2595" spans="1:4" ht="16.5" customHeight="1">
      <c r="A2595" s="3"/>
      <c r="B2595" s="3"/>
      <c r="C2595" s="3"/>
      <c r="D2595" s="3"/>
    </row>
    <row r="2596" spans="1:4" ht="16.5" customHeight="1">
      <c r="A2596" s="3"/>
      <c r="B2596" s="3"/>
      <c r="C2596" s="3"/>
      <c r="D2596" s="3"/>
    </row>
    <row r="2597" spans="1:4" ht="16.5" customHeight="1">
      <c r="A2597" s="3"/>
      <c r="B2597" s="3"/>
      <c r="C2597" s="3"/>
      <c r="D2597" s="3"/>
    </row>
    <row r="2598" spans="1:4" ht="16.5" customHeight="1">
      <c r="A2598" s="3"/>
      <c r="B2598" s="3"/>
      <c r="C2598" s="3"/>
      <c r="D2598" s="3"/>
    </row>
    <row r="2599" spans="1:4" ht="16.5" customHeight="1">
      <c r="A2599" s="3"/>
      <c r="B2599" s="3"/>
      <c r="C2599" s="3"/>
      <c r="D2599" s="3"/>
    </row>
    <row r="2600" spans="1:4" ht="16.5" customHeight="1">
      <c r="A2600" s="3"/>
      <c r="B2600" s="3"/>
      <c r="C2600" s="3"/>
      <c r="D2600" s="3"/>
    </row>
    <row r="2601" spans="1:4" ht="16.5" customHeight="1">
      <c r="A2601" s="3"/>
      <c r="B2601" s="3"/>
      <c r="C2601" s="3"/>
      <c r="D2601" s="3"/>
    </row>
    <row r="2602" spans="1:4" ht="16.5" customHeight="1">
      <c r="A2602" s="3"/>
      <c r="B2602" s="3"/>
      <c r="C2602" s="3"/>
      <c r="D2602" s="3"/>
    </row>
    <row r="2603" spans="1:4" ht="16.5" customHeight="1">
      <c r="A2603" s="3"/>
      <c r="B2603" s="3"/>
      <c r="C2603" s="3"/>
      <c r="D2603" s="3"/>
    </row>
    <row r="2604" spans="1:4" ht="16.5" customHeight="1">
      <c r="A2604" s="3"/>
      <c r="B2604" s="3"/>
      <c r="C2604" s="3"/>
      <c r="D2604" s="3"/>
    </row>
    <row r="2605" spans="1:4" ht="16.5" customHeight="1">
      <c r="A2605" s="3"/>
      <c r="B2605" s="3"/>
      <c r="C2605" s="3"/>
      <c r="D2605" s="3"/>
    </row>
    <row r="2606" spans="1:4" ht="16.5" customHeight="1">
      <c r="A2606" s="3"/>
      <c r="B2606" s="3"/>
      <c r="C2606" s="3"/>
      <c r="D2606" s="3"/>
    </row>
    <row r="2607" spans="1:4" ht="16.5" customHeight="1">
      <c r="A2607" s="3"/>
      <c r="B2607" s="3"/>
      <c r="C2607" s="3"/>
      <c r="D2607" s="3"/>
    </row>
    <row r="2608" spans="1:4" ht="16.5" customHeight="1">
      <c r="A2608" s="3"/>
      <c r="B2608" s="3"/>
      <c r="C2608" s="3"/>
      <c r="D2608" s="3"/>
    </row>
    <row r="2609" spans="1:4" ht="16.5" customHeight="1">
      <c r="A2609" s="3"/>
      <c r="B2609" s="3"/>
      <c r="C2609" s="3"/>
      <c r="D2609" s="3"/>
    </row>
    <row r="2610" spans="1:4" ht="16.5" customHeight="1">
      <c r="A2610" s="3"/>
      <c r="B2610" s="3"/>
      <c r="C2610" s="3"/>
      <c r="D2610" s="3"/>
    </row>
    <row r="2611" spans="1:4" ht="16.5" customHeight="1">
      <c r="A2611" s="3"/>
      <c r="B2611" s="3"/>
      <c r="C2611" s="3"/>
      <c r="D2611" s="3"/>
    </row>
    <row r="2612" spans="1:4" ht="16.5" customHeight="1">
      <c r="A2612" s="3"/>
      <c r="B2612" s="3"/>
      <c r="C2612" s="3"/>
      <c r="D2612" s="3"/>
    </row>
    <row r="2613" spans="1:4" ht="16.5" customHeight="1">
      <c r="A2613" s="3"/>
      <c r="B2613" s="3"/>
      <c r="C2613" s="3"/>
      <c r="D2613" s="3"/>
    </row>
    <row r="2614" spans="1:4" ht="16.5" customHeight="1">
      <c r="A2614" s="3"/>
      <c r="B2614" s="3"/>
      <c r="C2614" s="3"/>
      <c r="D2614" s="3"/>
    </row>
    <row r="2615" spans="1:4" ht="16.5" customHeight="1">
      <c r="A2615" s="3"/>
      <c r="B2615" s="3"/>
      <c r="C2615" s="3"/>
      <c r="D2615" s="3"/>
    </row>
    <row r="2616" spans="1:4" ht="16.5" customHeight="1">
      <c r="A2616" s="3"/>
      <c r="B2616" s="3"/>
      <c r="C2616" s="3"/>
      <c r="D2616" s="3"/>
    </row>
    <row r="2617" spans="1:4" ht="16.5" customHeight="1">
      <c r="A2617" s="3"/>
      <c r="B2617" s="3"/>
      <c r="C2617" s="3"/>
      <c r="D2617" s="3"/>
    </row>
    <row r="2618" spans="1:4" ht="16.5" customHeight="1">
      <c r="A2618" s="3"/>
      <c r="B2618" s="3"/>
      <c r="C2618" s="3"/>
      <c r="D2618" s="3"/>
    </row>
    <row r="2619" spans="1:4" ht="16.5" customHeight="1">
      <c r="A2619" s="3"/>
      <c r="B2619" s="3"/>
      <c r="C2619" s="3"/>
      <c r="D2619" s="3"/>
    </row>
    <row r="2620" spans="1:4" ht="16.5" customHeight="1">
      <c r="A2620" s="3"/>
      <c r="B2620" s="3"/>
      <c r="C2620" s="3"/>
      <c r="D2620" s="3"/>
    </row>
    <row r="2621" spans="1:4" ht="16.5" customHeight="1">
      <c r="A2621" s="3"/>
      <c r="B2621" s="3"/>
      <c r="C2621" s="3"/>
      <c r="D2621" s="3"/>
    </row>
    <row r="2622" spans="1:4" ht="16.5" customHeight="1">
      <c r="A2622" s="3"/>
      <c r="B2622" s="3"/>
      <c r="C2622" s="3"/>
      <c r="D2622" s="3"/>
    </row>
    <row r="2623" spans="1:4" ht="16.5" customHeight="1">
      <c r="A2623" s="3"/>
      <c r="B2623" s="3"/>
      <c r="C2623" s="3"/>
      <c r="D2623" s="3"/>
    </row>
    <row r="2624" spans="1:4" ht="16.5" customHeight="1">
      <c r="A2624" s="3"/>
      <c r="B2624" s="3"/>
      <c r="C2624" s="3"/>
      <c r="D2624" s="3"/>
    </row>
    <row r="2625" spans="1:4" ht="16.5" customHeight="1">
      <c r="A2625" s="3"/>
      <c r="B2625" s="3"/>
      <c r="C2625" s="3"/>
      <c r="D2625" s="3"/>
    </row>
    <row r="2626" spans="1:4" ht="16.5" customHeight="1">
      <c r="A2626" s="3"/>
      <c r="B2626" s="3"/>
      <c r="C2626" s="3"/>
      <c r="D2626" s="3"/>
    </row>
    <row r="2627" spans="1:4" ht="16.5" customHeight="1">
      <c r="A2627" s="3"/>
      <c r="B2627" s="3"/>
      <c r="C2627" s="3"/>
      <c r="D2627" s="3"/>
    </row>
    <row r="2628" spans="1:4" ht="16.5" customHeight="1">
      <c r="A2628" s="3"/>
      <c r="B2628" s="3"/>
      <c r="C2628" s="3"/>
      <c r="D2628" s="3"/>
    </row>
    <row r="2629" spans="1:4" ht="16.5" customHeight="1">
      <c r="A2629" s="3"/>
      <c r="B2629" s="3"/>
      <c r="C2629" s="3"/>
      <c r="D2629" s="3"/>
    </row>
    <row r="2630" spans="1:4" ht="16.5" customHeight="1">
      <c r="A2630" s="3"/>
      <c r="B2630" s="3"/>
      <c r="C2630" s="3"/>
      <c r="D2630" s="3"/>
    </row>
    <row r="2631" spans="1:4" ht="16.5" customHeight="1">
      <c r="A2631" s="3"/>
      <c r="B2631" s="3"/>
      <c r="C2631" s="3"/>
      <c r="D2631" s="3"/>
    </row>
    <row r="2632" spans="1:4" ht="16.5" customHeight="1">
      <c r="A2632" s="3"/>
      <c r="B2632" s="3"/>
      <c r="C2632" s="3"/>
      <c r="D2632" s="3"/>
    </row>
    <row r="2633" spans="1:4" ht="16.5" customHeight="1">
      <c r="A2633" s="3"/>
      <c r="B2633" s="3"/>
      <c r="C2633" s="3"/>
      <c r="D2633" s="3"/>
    </row>
    <row r="2634" spans="1:4" ht="16.5" customHeight="1">
      <c r="A2634" s="3"/>
      <c r="B2634" s="3"/>
      <c r="C2634" s="3"/>
      <c r="D2634" s="3"/>
    </row>
    <row r="2635" spans="1:4" ht="16.5" customHeight="1">
      <c r="A2635" s="3"/>
      <c r="B2635" s="3"/>
      <c r="C2635" s="3"/>
      <c r="D2635" s="3"/>
    </row>
    <row r="2636" spans="1:4" ht="16.5" customHeight="1">
      <c r="A2636" s="3"/>
      <c r="B2636" s="3"/>
      <c r="C2636" s="3"/>
      <c r="D2636" s="3"/>
    </row>
    <row r="2637" spans="1:4" ht="16.5" customHeight="1">
      <c r="A2637" s="3"/>
      <c r="B2637" s="3"/>
      <c r="C2637" s="3"/>
      <c r="D2637" s="3"/>
    </row>
    <row r="2638" spans="1:4" ht="16.5" customHeight="1">
      <c r="A2638" s="3"/>
      <c r="B2638" s="3"/>
      <c r="C2638" s="3"/>
      <c r="D2638" s="3"/>
    </row>
    <row r="2639" spans="1:4" ht="16.5" customHeight="1">
      <c r="A2639" s="3"/>
      <c r="B2639" s="3"/>
      <c r="C2639" s="3"/>
      <c r="D2639" s="3"/>
    </row>
    <row r="2640" spans="1:4" ht="16.5" customHeight="1">
      <c r="A2640" s="3"/>
      <c r="B2640" s="3"/>
      <c r="C2640" s="3"/>
      <c r="D2640" s="3"/>
    </row>
    <row r="2641" spans="1:4" ht="16.5" customHeight="1">
      <c r="A2641" s="3"/>
      <c r="B2641" s="3"/>
      <c r="C2641" s="3"/>
      <c r="D2641" s="3"/>
    </row>
    <row r="2642" spans="1:4" ht="16.5" customHeight="1">
      <c r="A2642" s="3"/>
      <c r="B2642" s="3"/>
      <c r="C2642" s="3"/>
      <c r="D2642" s="3"/>
    </row>
    <row r="2643" spans="1:4" ht="16.5" customHeight="1">
      <c r="A2643" s="3"/>
      <c r="B2643" s="3"/>
      <c r="C2643" s="3"/>
      <c r="D2643" s="3"/>
    </row>
    <row r="2644" spans="1:4" ht="16.5" customHeight="1">
      <c r="A2644" s="3"/>
      <c r="B2644" s="3"/>
      <c r="C2644" s="3"/>
      <c r="D2644" s="3"/>
    </row>
    <row r="2645" spans="1:4" ht="16.5" customHeight="1">
      <c r="A2645" s="3"/>
      <c r="B2645" s="3"/>
      <c r="C2645" s="3"/>
      <c r="D2645" s="3"/>
    </row>
    <row r="2646" spans="1:4" ht="16.5" customHeight="1">
      <c r="A2646" s="3"/>
      <c r="B2646" s="3"/>
      <c r="C2646" s="3"/>
      <c r="D2646" s="3"/>
    </row>
    <row r="2647" spans="1:4" ht="16.5" customHeight="1">
      <c r="A2647" s="3"/>
      <c r="B2647" s="3"/>
      <c r="C2647" s="3"/>
      <c r="D2647" s="3"/>
    </row>
    <row r="2648" spans="1:4" ht="16.5" customHeight="1">
      <c r="A2648" s="3"/>
      <c r="B2648" s="3"/>
      <c r="C2648" s="3"/>
      <c r="D2648" s="3"/>
    </row>
    <row r="2649" spans="1:4" ht="16.5" customHeight="1">
      <c r="A2649" s="3"/>
      <c r="B2649" s="3"/>
      <c r="C2649" s="3"/>
      <c r="D2649" s="3"/>
    </row>
    <row r="2650" spans="1:4" ht="16.5" customHeight="1">
      <c r="A2650" s="3"/>
      <c r="B2650" s="3"/>
      <c r="C2650" s="3"/>
      <c r="D2650" s="3"/>
    </row>
    <row r="2651" spans="1:4" ht="16.5" customHeight="1">
      <c r="A2651" s="3"/>
      <c r="B2651" s="3"/>
      <c r="C2651" s="3"/>
      <c r="D2651" s="3"/>
    </row>
    <row r="2652" spans="1:4" ht="16.5" customHeight="1">
      <c r="A2652" s="3"/>
      <c r="B2652" s="3"/>
      <c r="C2652" s="3"/>
      <c r="D2652" s="3"/>
    </row>
    <row r="2653" spans="1:4" ht="16.5" customHeight="1">
      <c r="A2653" s="3"/>
      <c r="B2653" s="3"/>
      <c r="C2653" s="3"/>
      <c r="D2653" s="3"/>
    </row>
    <row r="2654" spans="1:4" ht="16.5" customHeight="1">
      <c r="A2654" s="3"/>
      <c r="B2654" s="3"/>
      <c r="C2654" s="3"/>
      <c r="D2654" s="3"/>
    </row>
    <row r="2655" spans="1:4" ht="16.5" customHeight="1">
      <c r="A2655" s="3"/>
      <c r="B2655" s="3"/>
      <c r="C2655" s="3"/>
      <c r="D2655" s="3"/>
    </row>
    <row r="2656" spans="1:4" ht="16.5" customHeight="1">
      <c r="A2656" s="3"/>
      <c r="B2656" s="3"/>
      <c r="C2656" s="3"/>
      <c r="D2656" s="3"/>
    </row>
    <row r="2657" spans="1:4" ht="16.5" customHeight="1">
      <c r="A2657" s="3"/>
      <c r="B2657" s="3"/>
      <c r="C2657" s="3"/>
      <c r="D2657" s="3"/>
    </row>
    <row r="2658" spans="1:4" ht="16.5" customHeight="1">
      <c r="A2658" s="3"/>
      <c r="B2658" s="3"/>
      <c r="C2658" s="3"/>
      <c r="D2658" s="3"/>
    </row>
    <row r="2659" spans="1:4" ht="16.5" customHeight="1">
      <c r="A2659" s="3"/>
      <c r="B2659" s="3"/>
      <c r="C2659" s="3"/>
      <c r="D2659" s="3"/>
    </row>
    <row r="2660" spans="1:4" ht="16.5" customHeight="1">
      <c r="A2660" s="3"/>
      <c r="B2660" s="3"/>
      <c r="C2660" s="3"/>
      <c r="D2660" s="3"/>
    </row>
    <row r="2661" spans="1:4" ht="16.5" customHeight="1">
      <c r="A2661" s="3"/>
      <c r="B2661" s="3"/>
      <c r="C2661" s="3"/>
      <c r="D2661" s="3"/>
    </row>
    <row r="2662" spans="1:4" ht="16.5" customHeight="1">
      <c r="A2662" s="3"/>
      <c r="B2662" s="3"/>
      <c r="C2662" s="3"/>
      <c r="D2662" s="3"/>
    </row>
    <row r="2663" spans="1:4" ht="16.5" customHeight="1">
      <c r="A2663" s="3"/>
      <c r="B2663" s="3"/>
      <c r="C2663" s="3"/>
      <c r="D2663" s="3"/>
    </row>
    <row r="2664" spans="1:4" ht="16.5" customHeight="1">
      <c r="A2664" s="3"/>
      <c r="B2664" s="3"/>
      <c r="C2664" s="3"/>
      <c r="D2664" s="3"/>
    </row>
    <row r="2665" spans="1:4" ht="16.5" customHeight="1">
      <c r="A2665" s="3"/>
      <c r="B2665" s="3"/>
      <c r="C2665" s="3"/>
      <c r="D2665" s="3"/>
    </row>
    <row r="2666" spans="1:4" ht="16.5" customHeight="1">
      <c r="A2666" s="3"/>
      <c r="B2666" s="3"/>
      <c r="C2666" s="3"/>
      <c r="D2666" s="3"/>
    </row>
    <row r="2667" spans="1:4" ht="16.5" customHeight="1">
      <c r="A2667" s="3"/>
      <c r="B2667" s="3"/>
      <c r="C2667" s="3"/>
      <c r="D2667" s="3"/>
    </row>
    <row r="2668" spans="1:4" ht="16.5" customHeight="1">
      <c r="A2668" s="3"/>
      <c r="B2668" s="3"/>
      <c r="C2668" s="3"/>
      <c r="D2668" s="3"/>
    </row>
    <row r="2669" spans="1:4" ht="16.5" customHeight="1">
      <c r="A2669" s="3"/>
      <c r="B2669" s="3"/>
      <c r="C2669" s="3"/>
      <c r="D2669" s="3"/>
    </row>
    <row r="2670" spans="1:4" ht="16.5" customHeight="1">
      <c r="A2670" s="3"/>
      <c r="B2670" s="3"/>
      <c r="C2670" s="3"/>
      <c r="D2670" s="3"/>
    </row>
    <row r="2671" spans="1:4" ht="16.5" customHeight="1">
      <c r="A2671" s="3"/>
      <c r="B2671" s="3"/>
      <c r="C2671" s="3"/>
      <c r="D2671" s="3"/>
    </row>
    <row r="2672" spans="1:4" ht="16.5" customHeight="1">
      <c r="A2672" s="3"/>
      <c r="B2672" s="3"/>
      <c r="C2672" s="3"/>
      <c r="D2672" s="3"/>
    </row>
    <row r="2673" spans="1:4" ht="16.5" customHeight="1">
      <c r="A2673" s="3"/>
      <c r="B2673" s="3"/>
      <c r="C2673" s="3"/>
      <c r="D2673" s="3"/>
    </row>
    <row r="2674" spans="1:4" ht="16.5" customHeight="1">
      <c r="A2674" s="3"/>
      <c r="B2674" s="3"/>
      <c r="C2674" s="3"/>
      <c r="D2674" s="3"/>
    </row>
    <row r="2675" spans="1:4" ht="16.5" customHeight="1">
      <c r="A2675" s="3"/>
      <c r="B2675" s="3"/>
      <c r="C2675" s="3"/>
      <c r="D2675" s="3"/>
    </row>
    <row r="2676" spans="1:4" ht="16.5" customHeight="1">
      <c r="A2676" s="3"/>
      <c r="B2676" s="3"/>
      <c r="C2676" s="3"/>
      <c r="D2676" s="3"/>
    </row>
    <row r="2677" spans="1:4" ht="16.5" customHeight="1">
      <c r="A2677" s="3"/>
      <c r="B2677" s="3"/>
      <c r="C2677" s="3"/>
      <c r="D2677" s="3"/>
    </row>
    <row r="2678" spans="1:4" ht="16.5" customHeight="1">
      <c r="A2678" s="3"/>
      <c r="B2678" s="3"/>
      <c r="C2678" s="3"/>
      <c r="D2678" s="3"/>
    </row>
    <row r="2679" spans="1:4" ht="16.5" customHeight="1">
      <c r="A2679" s="3"/>
      <c r="B2679" s="3"/>
      <c r="C2679" s="3"/>
      <c r="D2679" s="3"/>
    </row>
    <row r="2680" spans="1:4" ht="16.5" customHeight="1">
      <c r="A2680" s="3"/>
      <c r="B2680" s="3"/>
      <c r="C2680" s="3"/>
      <c r="D2680" s="3"/>
    </row>
    <row r="2681" spans="1:4" ht="16.5" customHeight="1">
      <c r="A2681" s="3"/>
      <c r="B2681" s="3"/>
      <c r="C2681" s="3"/>
      <c r="D2681" s="3"/>
    </row>
    <row r="2682" spans="1:4" ht="16.5" customHeight="1">
      <c r="A2682" s="3"/>
      <c r="B2682" s="3"/>
      <c r="C2682" s="3"/>
      <c r="D2682" s="3"/>
    </row>
    <row r="2683" spans="1:4" ht="16.5" customHeight="1">
      <c r="A2683" s="3"/>
      <c r="B2683" s="3"/>
      <c r="C2683" s="3"/>
      <c r="D2683" s="3"/>
    </row>
    <row r="2684" spans="1:4" ht="16.5" customHeight="1">
      <c r="A2684" s="3"/>
      <c r="B2684" s="3"/>
      <c r="C2684" s="3"/>
      <c r="D2684" s="3"/>
    </row>
    <row r="2685" spans="1:4" ht="16.5" customHeight="1">
      <c r="A2685" s="3"/>
      <c r="B2685" s="3"/>
      <c r="C2685" s="3"/>
      <c r="D2685" s="3"/>
    </row>
    <row r="2686" spans="1:4" ht="16.5" customHeight="1">
      <c r="A2686" s="3"/>
      <c r="B2686" s="3"/>
      <c r="C2686" s="3"/>
      <c r="D2686" s="3"/>
    </row>
    <row r="2687" spans="1:4" ht="16.5" customHeight="1">
      <c r="A2687" s="3"/>
      <c r="B2687" s="3"/>
      <c r="C2687" s="3"/>
      <c r="D2687" s="3"/>
    </row>
    <row r="2688" spans="1:4" ht="16.5" customHeight="1">
      <c r="A2688" s="3"/>
      <c r="B2688" s="3"/>
      <c r="C2688" s="3"/>
      <c r="D2688" s="3"/>
    </row>
    <row r="2689" spans="1:4" ht="16.5" customHeight="1">
      <c r="A2689" s="3"/>
      <c r="B2689" s="3"/>
      <c r="C2689" s="3"/>
      <c r="D2689" s="3"/>
    </row>
    <row r="2690" spans="1:4" ht="16.5" customHeight="1">
      <c r="A2690" s="3"/>
      <c r="B2690" s="3"/>
      <c r="C2690" s="3"/>
      <c r="D2690" s="3"/>
    </row>
    <row r="2691" spans="1:4" ht="16.5" customHeight="1">
      <c r="A2691" s="3"/>
      <c r="B2691" s="3"/>
      <c r="C2691" s="3"/>
      <c r="D2691" s="3"/>
    </row>
    <row r="2692" spans="1:4" ht="16.5" customHeight="1">
      <c r="A2692" s="3"/>
      <c r="B2692" s="3"/>
      <c r="C2692" s="3"/>
      <c r="D2692" s="3"/>
    </row>
    <row r="2693" spans="1:4" ht="16.5" customHeight="1">
      <c r="A2693" s="3"/>
      <c r="B2693" s="3"/>
      <c r="C2693" s="3"/>
      <c r="D2693" s="3"/>
    </row>
    <row r="2694" spans="1:4" ht="16.5" customHeight="1">
      <c r="A2694" s="3"/>
      <c r="B2694" s="3"/>
      <c r="C2694" s="3"/>
      <c r="D2694" s="3"/>
    </row>
    <row r="2695" spans="1:4" ht="16.5" customHeight="1">
      <c r="A2695" s="3"/>
      <c r="B2695" s="3"/>
      <c r="C2695" s="3"/>
      <c r="D2695" s="3"/>
    </row>
    <row r="2696" spans="1:4" ht="16.5" customHeight="1">
      <c r="A2696" s="3"/>
      <c r="B2696" s="3"/>
      <c r="C2696" s="3"/>
      <c r="D2696" s="3"/>
    </row>
    <row r="2697" spans="1:4" ht="16.5" customHeight="1">
      <c r="A2697" s="3"/>
      <c r="B2697" s="3"/>
      <c r="C2697" s="3"/>
      <c r="D2697" s="3"/>
    </row>
    <row r="2698" spans="1:4" ht="16.5" customHeight="1">
      <c r="A2698" s="3"/>
      <c r="B2698" s="3"/>
      <c r="C2698" s="3"/>
      <c r="D2698" s="3"/>
    </row>
    <row r="2699" spans="1:4" ht="16.5" customHeight="1">
      <c r="A2699" s="3"/>
      <c r="B2699" s="3"/>
      <c r="C2699" s="3"/>
      <c r="D2699" s="3"/>
    </row>
    <row r="2700" spans="1:4" ht="16.5" customHeight="1">
      <c r="A2700" s="3"/>
      <c r="B2700" s="3"/>
      <c r="C2700" s="3"/>
      <c r="D2700" s="3"/>
    </row>
    <row r="2701" spans="1:4" ht="16.5" customHeight="1">
      <c r="A2701" s="3"/>
      <c r="B2701" s="3"/>
      <c r="C2701" s="3"/>
      <c r="D2701" s="3"/>
    </row>
    <row r="2702" spans="1:4" ht="16.5" customHeight="1">
      <c r="A2702" s="3"/>
      <c r="B2702" s="3"/>
      <c r="C2702" s="3"/>
      <c r="D2702" s="3"/>
    </row>
    <row r="2703" spans="1:4" ht="16.5" customHeight="1">
      <c r="A2703" s="3"/>
      <c r="B2703" s="3"/>
      <c r="C2703" s="3"/>
      <c r="D2703" s="3"/>
    </row>
    <row r="2704" spans="1:4" ht="16.5" customHeight="1">
      <c r="A2704" s="3"/>
      <c r="B2704" s="3"/>
      <c r="C2704" s="3"/>
      <c r="D2704" s="3"/>
    </row>
    <row r="2705" spans="1:4" ht="16.5" customHeight="1">
      <c r="A2705" s="3"/>
      <c r="B2705" s="3"/>
      <c r="C2705" s="3"/>
      <c r="D2705" s="3"/>
    </row>
    <row r="2706" spans="1:4" ht="16.5" customHeight="1">
      <c r="A2706" s="3"/>
      <c r="B2706" s="3"/>
      <c r="C2706" s="3"/>
      <c r="D2706" s="3"/>
    </row>
    <row r="2707" spans="1:4" ht="16.5" customHeight="1">
      <c r="A2707" s="3"/>
      <c r="B2707" s="3"/>
      <c r="C2707" s="3"/>
      <c r="D2707" s="3"/>
    </row>
    <row r="2708" spans="1:4" ht="16.5" customHeight="1">
      <c r="A2708" s="3"/>
      <c r="B2708" s="3"/>
      <c r="C2708" s="3"/>
      <c r="D2708" s="3"/>
    </row>
    <row r="2709" spans="1:4" ht="16.5" customHeight="1">
      <c r="A2709" s="3"/>
      <c r="B2709" s="3"/>
      <c r="C2709" s="3"/>
      <c r="D2709" s="3"/>
    </row>
    <row r="2710" spans="1:4" ht="16.5" customHeight="1">
      <c r="A2710" s="3"/>
      <c r="B2710" s="3"/>
      <c r="C2710" s="3"/>
      <c r="D2710" s="3"/>
    </row>
    <row r="2711" spans="1:4" ht="16.5" customHeight="1">
      <c r="A2711" s="3"/>
      <c r="B2711" s="3"/>
      <c r="C2711" s="3"/>
      <c r="D2711" s="3"/>
    </row>
    <row r="2712" spans="1:4" ht="16.5" customHeight="1">
      <c r="A2712" s="3"/>
      <c r="B2712" s="3"/>
      <c r="C2712" s="3"/>
      <c r="D2712" s="3"/>
    </row>
    <row r="2713" spans="1:4" ht="16.5" customHeight="1">
      <c r="A2713" s="3"/>
      <c r="B2713" s="3"/>
      <c r="C2713" s="3"/>
      <c r="D2713" s="3"/>
    </row>
    <row r="2714" spans="1:4" ht="16.5" customHeight="1">
      <c r="A2714" s="3"/>
      <c r="B2714" s="3"/>
      <c r="C2714" s="3"/>
      <c r="D2714" s="3"/>
    </row>
    <row r="2715" spans="1:4" ht="16.5" customHeight="1">
      <c r="A2715" s="3"/>
      <c r="B2715" s="3"/>
      <c r="C2715" s="3"/>
      <c r="D2715" s="3"/>
    </row>
    <row r="2716" spans="1:4" ht="16.5" customHeight="1">
      <c r="A2716" s="3"/>
      <c r="B2716" s="3"/>
      <c r="C2716" s="3"/>
      <c r="D2716" s="3"/>
    </row>
    <row r="2717" spans="1:4" ht="16.5" customHeight="1">
      <c r="A2717" s="3"/>
      <c r="B2717" s="3"/>
      <c r="C2717" s="3"/>
      <c r="D2717" s="3"/>
    </row>
    <row r="2718" spans="1:4" ht="16.5" customHeight="1">
      <c r="A2718" s="3"/>
      <c r="B2718" s="3"/>
      <c r="C2718" s="3"/>
      <c r="D2718" s="3"/>
    </row>
    <row r="2719" spans="1:4" ht="16.5" customHeight="1">
      <c r="A2719" s="3"/>
      <c r="B2719" s="3"/>
      <c r="C2719" s="3"/>
      <c r="D2719" s="3"/>
    </row>
    <row r="2720" spans="1:4" ht="16.5" customHeight="1">
      <c r="A2720" s="3"/>
      <c r="B2720" s="3"/>
      <c r="C2720" s="3"/>
      <c r="D2720" s="3"/>
    </row>
    <row r="2721" spans="1:4" ht="16.5" customHeight="1">
      <c r="A2721" s="3"/>
      <c r="B2721" s="3"/>
      <c r="C2721" s="3"/>
      <c r="D2721" s="3"/>
    </row>
    <row r="2722" spans="1:4" ht="16.5" customHeight="1">
      <c r="A2722" s="3"/>
      <c r="B2722" s="3"/>
      <c r="C2722" s="3"/>
      <c r="D2722" s="3"/>
    </row>
    <row r="2723" spans="1:4" ht="16.5" customHeight="1">
      <c r="A2723" s="3"/>
      <c r="B2723" s="3"/>
      <c r="C2723" s="3"/>
      <c r="D2723" s="3"/>
    </row>
    <row r="2724" spans="1:4" ht="16.5" customHeight="1">
      <c r="A2724" s="3"/>
      <c r="B2724" s="3"/>
      <c r="C2724" s="3"/>
      <c r="D2724" s="3"/>
    </row>
    <row r="2725" spans="1:4" ht="16.5" customHeight="1">
      <c r="A2725" s="3"/>
      <c r="B2725" s="3"/>
      <c r="C2725" s="3"/>
      <c r="D2725" s="3"/>
    </row>
    <row r="2726" spans="1:4" ht="16.5" customHeight="1">
      <c r="A2726" s="3"/>
      <c r="B2726" s="3"/>
      <c r="C2726" s="3"/>
      <c r="D2726" s="3"/>
    </row>
    <row r="2727" spans="1:4" ht="16.5" customHeight="1">
      <c r="A2727" s="3"/>
      <c r="B2727" s="3"/>
      <c r="C2727" s="3"/>
      <c r="D2727" s="3"/>
    </row>
    <row r="2728" spans="1:4" ht="16.5" customHeight="1">
      <c r="A2728" s="3"/>
      <c r="B2728" s="3"/>
      <c r="C2728" s="3"/>
      <c r="D2728" s="3"/>
    </row>
    <row r="2729" spans="1:4" ht="16.5" customHeight="1">
      <c r="A2729" s="3"/>
      <c r="B2729" s="3"/>
      <c r="C2729" s="3"/>
      <c r="D2729" s="3"/>
    </row>
    <row r="2730" spans="1:4" ht="16.5" customHeight="1">
      <c r="A2730" s="3"/>
      <c r="B2730" s="3"/>
      <c r="C2730" s="3"/>
      <c r="D2730" s="3"/>
    </row>
    <row r="2731" spans="1:4" ht="16.5" customHeight="1">
      <c r="A2731" s="3"/>
      <c r="B2731" s="3"/>
      <c r="C2731" s="3"/>
      <c r="D2731" s="3"/>
    </row>
    <row r="2732" spans="1:4" ht="16.5" customHeight="1">
      <c r="A2732" s="3"/>
      <c r="B2732" s="3"/>
      <c r="C2732" s="3"/>
      <c r="D2732" s="3"/>
    </row>
    <row r="2733" spans="1:4" ht="16.5" customHeight="1">
      <c r="A2733" s="3"/>
      <c r="B2733" s="3"/>
      <c r="C2733" s="3"/>
      <c r="D2733" s="3"/>
    </row>
    <row r="2734" spans="1:4" ht="16.5" customHeight="1">
      <c r="A2734" s="3"/>
      <c r="B2734" s="3"/>
      <c r="C2734" s="3"/>
      <c r="D2734" s="3"/>
    </row>
    <row r="2735" spans="1:4" ht="16.5" customHeight="1">
      <c r="A2735" s="3"/>
      <c r="B2735" s="3"/>
      <c r="C2735" s="3"/>
      <c r="D2735" s="3"/>
    </row>
    <row r="2736" spans="1:4" ht="16.5" customHeight="1">
      <c r="A2736" s="3"/>
      <c r="B2736" s="3"/>
      <c r="C2736" s="3"/>
      <c r="D2736" s="3"/>
    </row>
    <row r="2737" spans="1:4" ht="16.5" customHeight="1">
      <c r="A2737" s="3"/>
      <c r="B2737" s="3"/>
      <c r="C2737" s="3"/>
      <c r="D2737" s="3"/>
    </row>
    <row r="2738" spans="1:4" ht="16.5" customHeight="1">
      <c r="A2738" s="3"/>
      <c r="B2738" s="3"/>
      <c r="C2738" s="3"/>
      <c r="D2738" s="3"/>
    </row>
    <row r="2739" spans="1:4" ht="16.5" customHeight="1">
      <c r="A2739" s="3"/>
      <c r="B2739" s="3"/>
      <c r="C2739" s="3"/>
      <c r="D2739" s="3"/>
    </row>
    <row r="2740" spans="1:4" ht="16.5" customHeight="1">
      <c r="A2740" s="3"/>
      <c r="B2740" s="3"/>
      <c r="C2740" s="3"/>
      <c r="D2740" s="3"/>
    </row>
    <row r="2741" spans="1:4" ht="16.5" customHeight="1">
      <c r="A2741" s="3"/>
      <c r="B2741" s="3"/>
      <c r="C2741" s="3"/>
      <c r="D2741" s="3"/>
    </row>
    <row r="2742" spans="1:4" ht="16.5" customHeight="1">
      <c r="A2742" s="3"/>
      <c r="B2742" s="3"/>
      <c r="C2742" s="3"/>
      <c r="D2742" s="3"/>
    </row>
    <row r="2743" spans="1:4" ht="16.5" customHeight="1">
      <c r="A2743" s="3"/>
      <c r="B2743" s="3"/>
      <c r="C2743" s="3"/>
      <c r="D2743" s="3"/>
    </row>
    <row r="2744" spans="1:4" ht="16.5" customHeight="1">
      <c r="A2744" s="3"/>
      <c r="B2744" s="3"/>
      <c r="C2744" s="3"/>
      <c r="D2744" s="3"/>
    </row>
    <row r="2745" spans="1:4" ht="16.5" customHeight="1">
      <c r="A2745" s="3"/>
      <c r="B2745" s="3"/>
      <c r="C2745" s="3"/>
      <c r="D2745" s="3"/>
    </row>
    <row r="2746" spans="1:4" ht="16.5" customHeight="1">
      <c r="A2746" s="3"/>
      <c r="B2746" s="3"/>
      <c r="C2746" s="3"/>
      <c r="D2746" s="3"/>
    </row>
    <row r="2747" spans="1:4" ht="16.5" customHeight="1">
      <c r="A2747" s="3"/>
      <c r="B2747" s="3"/>
      <c r="C2747" s="3"/>
      <c r="D2747" s="3"/>
    </row>
    <row r="2748" spans="1:4" ht="16.5" customHeight="1">
      <c r="A2748" s="3"/>
      <c r="B2748" s="3"/>
      <c r="C2748" s="3"/>
      <c r="D2748" s="3"/>
    </row>
    <row r="2749" spans="1:4" ht="16.5" customHeight="1">
      <c r="A2749" s="3"/>
      <c r="B2749" s="3"/>
      <c r="C2749" s="3"/>
      <c r="D2749" s="3"/>
    </row>
    <row r="2750" spans="1:4" ht="16.5" customHeight="1">
      <c r="A2750" s="3"/>
      <c r="B2750" s="3"/>
      <c r="C2750" s="3"/>
      <c r="D2750" s="3"/>
    </row>
    <row r="2751" spans="1:4" ht="16.5" customHeight="1">
      <c r="A2751" s="3"/>
      <c r="B2751" s="3"/>
      <c r="C2751" s="3"/>
      <c r="D2751" s="3"/>
    </row>
    <row r="2752" spans="1:4" ht="16.5" customHeight="1">
      <c r="A2752" s="3"/>
      <c r="B2752" s="3"/>
      <c r="C2752" s="3"/>
      <c r="D2752" s="3"/>
    </row>
    <row r="2753" spans="1:4" ht="16.5" customHeight="1">
      <c r="A2753" s="3"/>
      <c r="B2753" s="3"/>
      <c r="C2753" s="3"/>
      <c r="D2753" s="3"/>
    </row>
    <row r="2754" spans="1:4" ht="16.5" customHeight="1">
      <c r="A2754" s="3"/>
      <c r="B2754" s="3"/>
      <c r="C2754" s="3"/>
      <c r="D2754" s="3"/>
    </row>
    <row r="2755" spans="1:4" ht="16.5" customHeight="1">
      <c r="A2755" s="3"/>
      <c r="B2755" s="3"/>
      <c r="C2755" s="3"/>
      <c r="D2755" s="3"/>
    </row>
    <row r="2756" spans="1:4" ht="16.5" customHeight="1">
      <c r="A2756" s="3"/>
      <c r="B2756" s="3"/>
      <c r="C2756" s="3"/>
      <c r="D2756" s="3"/>
    </row>
    <row r="2757" spans="1:4" ht="16.5" customHeight="1">
      <c r="A2757" s="3"/>
      <c r="B2757" s="3"/>
      <c r="C2757" s="3"/>
      <c r="D2757" s="3"/>
    </row>
    <row r="2758" spans="1:4" ht="16.5" customHeight="1">
      <c r="A2758" s="3"/>
      <c r="B2758" s="3"/>
      <c r="C2758" s="3"/>
      <c r="D2758" s="3"/>
    </row>
    <row r="2759" spans="1:4" ht="16.5" customHeight="1">
      <c r="A2759" s="3"/>
      <c r="B2759" s="3"/>
      <c r="C2759" s="3"/>
      <c r="D2759" s="3"/>
    </row>
    <row r="2760" spans="1:4" ht="16.5" customHeight="1">
      <c r="A2760" s="3"/>
      <c r="B2760" s="3"/>
      <c r="C2760" s="3"/>
      <c r="D2760" s="3"/>
    </row>
    <row r="2761" spans="1:4" ht="16.5" customHeight="1">
      <c r="A2761" s="3"/>
      <c r="B2761" s="3"/>
      <c r="C2761" s="3"/>
      <c r="D2761" s="3"/>
    </row>
    <row r="2762" spans="1:4" ht="16.5" customHeight="1">
      <c r="A2762" s="3"/>
      <c r="B2762" s="3"/>
      <c r="C2762" s="3"/>
      <c r="D2762" s="3"/>
    </row>
    <row r="2763" spans="1:4" ht="16.5" customHeight="1">
      <c r="A2763" s="3"/>
      <c r="B2763" s="3"/>
      <c r="C2763" s="3"/>
      <c r="D2763" s="3"/>
    </row>
    <row r="2764" spans="1:4" ht="16.5" customHeight="1">
      <c r="A2764" s="3"/>
      <c r="B2764" s="3"/>
      <c r="C2764" s="3"/>
      <c r="D2764" s="3"/>
    </row>
    <row r="2765" spans="1:4" ht="16.5" customHeight="1">
      <c r="A2765" s="3"/>
      <c r="B2765" s="3"/>
      <c r="C2765" s="3"/>
      <c r="D2765" s="3"/>
    </row>
    <row r="2766" spans="1:4" ht="16.5" customHeight="1">
      <c r="A2766" s="3"/>
      <c r="B2766" s="3"/>
      <c r="C2766" s="3"/>
      <c r="D2766" s="3"/>
    </row>
    <row r="2767" spans="1:4" ht="16.5" customHeight="1">
      <c r="A2767" s="3"/>
      <c r="B2767" s="3"/>
      <c r="C2767" s="3"/>
      <c r="D2767" s="3"/>
    </row>
    <row r="2768" spans="1:4" ht="16.5" customHeight="1">
      <c r="A2768" s="3"/>
      <c r="B2768" s="3"/>
      <c r="C2768" s="3"/>
      <c r="D2768" s="3"/>
    </row>
    <row r="2769" spans="1:4" ht="16.5" customHeight="1">
      <c r="A2769" s="3"/>
      <c r="B2769" s="3"/>
      <c r="C2769" s="3"/>
      <c r="D2769" s="3"/>
    </row>
    <row r="2770" spans="1:4" ht="16.5" customHeight="1">
      <c r="A2770" s="3"/>
      <c r="B2770" s="3"/>
      <c r="C2770" s="3"/>
      <c r="D2770" s="3"/>
    </row>
    <row r="2771" spans="1:4" ht="16.5" customHeight="1">
      <c r="A2771" s="3"/>
      <c r="B2771" s="3"/>
      <c r="C2771" s="3"/>
      <c r="D2771" s="3"/>
    </row>
    <row r="2772" spans="1:4" ht="16.5" customHeight="1">
      <c r="A2772" s="3"/>
      <c r="B2772" s="3"/>
      <c r="C2772" s="3"/>
      <c r="D2772" s="3"/>
    </row>
    <row r="2773" spans="1:4" ht="16.5" customHeight="1">
      <c r="A2773" s="3"/>
      <c r="B2773" s="3"/>
      <c r="C2773" s="3"/>
      <c r="D2773" s="3"/>
    </row>
    <row r="2774" spans="1:4" ht="16.5" customHeight="1">
      <c r="A2774" s="3"/>
      <c r="B2774" s="3"/>
      <c r="C2774" s="3"/>
      <c r="D2774" s="3"/>
    </row>
    <row r="2775" spans="1:4" ht="16.5" customHeight="1">
      <c r="A2775" s="3"/>
      <c r="B2775" s="3"/>
      <c r="C2775" s="3"/>
      <c r="D2775" s="3"/>
    </row>
    <row r="2776" spans="1:4" ht="16.5" customHeight="1">
      <c r="A2776" s="3"/>
      <c r="B2776" s="3"/>
      <c r="C2776" s="3"/>
      <c r="D2776" s="3"/>
    </row>
    <row r="2777" spans="1:4" ht="16.5" customHeight="1">
      <c r="A2777" s="3"/>
      <c r="B2777" s="3"/>
      <c r="C2777" s="3"/>
      <c r="D2777" s="3"/>
    </row>
    <row r="2778" spans="1:4" ht="16.5" customHeight="1">
      <c r="A2778" s="3"/>
      <c r="B2778" s="3"/>
      <c r="C2778" s="3"/>
      <c r="D2778" s="3"/>
    </row>
    <row r="2779" spans="1:4" ht="16.5" customHeight="1">
      <c r="A2779" s="3"/>
      <c r="B2779" s="3"/>
      <c r="C2779" s="3"/>
      <c r="D2779" s="3"/>
    </row>
    <row r="2780" spans="1:4" ht="16.5" customHeight="1">
      <c r="A2780" s="3"/>
      <c r="B2780" s="3"/>
      <c r="C2780" s="3"/>
      <c r="D2780" s="3"/>
    </row>
    <row r="2781" spans="1:4" ht="16.5" customHeight="1">
      <c r="A2781" s="3"/>
      <c r="B2781" s="3"/>
      <c r="C2781" s="3"/>
      <c r="D2781" s="3"/>
    </row>
    <row r="2782" spans="1:4" ht="16.5" customHeight="1">
      <c r="A2782" s="3"/>
      <c r="B2782" s="3"/>
      <c r="C2782" s="3"/>
      <c r="D2782" s="3"/>
    </row>
    <row r="2783" spans="1:4" ht="16.5" customHeight="1">
      <c r="A2783" s="3"/>
      <c r="B2783" s="3"/>
      <c r="C2783" s="3"/>
      <c r="D2783" s="3"/>
    </row>
    <row r="2784" spans="1:4" ht="16.5" customHeight="1">
      <c r="A2784" s="3"/>
      <c r="B2784" s="3"/>
      <c r="C2784" s="3"/>
      <c r="D2784" s="3"/>
    </row>
    <row r="2785" spans="1:4" ht="16.5" customHeight="1">
      <c r="A2785" s="3"/>
      <c r="B2785" s="3"/>
      <c r="C2785" s="3"/>
      <c r="D2785" s="3"/>
    </row>
    <row r="2786" spans="1:4" ht="16.5" customHeight="1">
      <c r="A2786" s="3"/>
      <c r="B2786" s="3"/>
      <c r="C2786" s="3"/>
      <c r="D2786" s="3"/>
    </row>
    <row r="2787" spans="1:4" ht="16.5" customHeight="1">
      <c r="A2787" s="3"/>
      <c r="B2787" s="3"/>
      <c r="C2787" s="3"/>
      <c r="D2787" s="3"/>
    </row>
    <row r="2788" spans="1:4" ht="16.5" customHeight="1">
      <c r="A2788" s="3"/>
      <c r="B2788" s="3"/>
      <c r="C2788" s="3"/>
      <c r="D2788" s="3"/>
    </row>
    <row r="2789" spans="1:4" ht="16.5" customHeight="1">
      <c r="A2789" s="3"/>
      <c r="B2789" s="3"/>
      <c r="C2789" s="3"/>
      <c r="D2789" s="3"/>
    </row>
    <row r="2790" spans="1:4" ht="16.5" customHeight="1">
      <c r="A2790" s="3"/>
      <c r="B2790" s="3"/>
      <c r="C2790" s="3"/>
      <c r="D2790" s="3"/>
    </row>
    <row r="2791" spans="1:4" ht="16.5" customHeight="1">
      <c r="A2791" s="3"/>
      <c r="B2791" s="3"/>
      <c r="C2791" s="3"/>
      <c r="D2791" s="3"/>
    </row>
    <row r="2792" spans="1:4" ht="16.5" customHeight="1">
      <c r="A2792" s="3"/>
      <c r="B2792" s="3"/>
      <c r="C2792" s="3"/>
      <c r="D2792" s="3"/>
    </row>
    <row r="2793" spans="1:4" ht="16.5" customHeight="1">
      <c r="A2793" s="3"/>
      <c r="B2793" s="3"/>
      <c r="C2793" s="3"/>
      <c r="D2793" s="3"/>
    </row>
    <row r="2794" spans="1:4" ht="16.5" customHeight="1">
      <c r="A2794" s="3"/>
      <c r="B2794" s="3"/>
      <c r="C2794" s="3"/>
      <c r="D2794" s="3"/>
    </row>
    <row r="2795" spans="1:4" ht="16.5" customHeight="1">
      <c r="A2795" s="3"/>
      <c r="B2795" s="3"/>
      <c r="C2795" s="3"/>
      <c r="D2795" s="3"/>
    </row>
    <row r="2796" spans="1:4" ht="16.5" customHeight="1">
      <c r="A2796" s="3"/>
      <c r="B2796" s="3"/>
      <c r="C2796" s="3"/>
      <c r="D2796" s="3"/>
    </row>
    <row r="2797" spans="1:4" ht="16.5" customHeight="1">
      <c r="A2797" s="3"/>
      <c r="B2797" s="3"/>
      <c r="C2797" s="3"/>
      <c r="D2797" s="3"/>
    </row>
    <row r="2798" spans="1:4" ht="16.5" customHeight="1">
      <c r="A2798" s="3"/>
      <c r="B2798" s="3"/>
      <c r="C2798" s="3"/>
      <c r="D2798" s="3"/>
    </row>
    <row r="2799" spans="1:4" ht="16.5" customHeight="1">
      <c r="A2799" s="3"/>
      <c r="B2799" s="3"/>
      <c r="C2799" s="3"/>
      <c r="D2799" s="3"/>
    </row>
    <row r="2800" spans="1:4" ht="16.5" customHeight="1">
      <c r="A2800" s="3"/>
      <c r="B2800" s="3"/>
      <c r="C2800" s="3"/>
      <c r="D2800" s="3"/>
    </row>
    <row r="2801" spans="1:4" ht="16.5" customHeight="1">
      <c r="A2801" s="3"/>
      <c r="B2801" s="3"/>
      <c r="C2801" s="3"/>
      <c r="D2801" s="3"/>
    </row>
    <row r="2802" spans="1:4" ht="16.5" customHeight="1">
      <c r="A2802" s="3"/>
      <c r="B2802" s="3"/>
      <c r="C2802" s="3"/>
      <c r="D2802" s="3"/>
    </row>
    <row r="2803" spans="1:4" ht="16.5" customHeight="1">
      <c r="A2803" s="3"/>
      <c r="B2803" s="3"/>
      <c r="C2803" s="3"/>
      <c r="D2803" s="3"/>
    </row>
    <row r="2804" spans="1:4" ht="16.5" customHeight="1">
      <c r="A2804" s="3"/>
      <c r="B2804" s="3"/>
      <c r="C2804" s="3"/>
      <c r="D2804" s="3"/>
    </row>
    <row r="2805" spans="1:4" ht="16.5" customHeight="1">
      <c r="A2805" s="3"/>
      <c r="B2805" s="3"/>
      <c r="C2805" s="3"/>
      <c r="D2805" s="3"/>
    </row>
    <row r="2806" spans="1:4" ht="16.5" customHeight="1">
      <c r="A2806" s="3"/>
      <c r="B2806" s="3"/>
      <c r="C2806" s="3"/>
      <c r="D2806" s="3"/>
    </row>
    <row r="2807" spans="1:4" ht="16.5" customHeight="1">
      <c r="A2807" s="3"/>
      <c r="B2807" s="3"/>
      <c r="C2807" s="3"/>
      <c r="D2807" s="3"/>
    </row>
    <row r="2808" spans="1:4" ht="16.5" customHeight="1">
      <c r="A2808" s="3"/>
      <c r="B2808" s="3"/>
      <c r="C2808" s="3"/>
      <c r="D2808" s="3"/>
    </row>
    <row r="2809" spans="1:4" ht="16.5" customHeight="1">
      <c r="A2809" s="3"/>
      <c r="B2809" s="3"/>
      <c r="C2809" s="3"/>
      <c r="D2809" s="3"/>
    </row>
    <row r="2810" spans="1:4" ht="16.5" customHeight="1">
      <c r="A2810" s="3"/>
      <c r="B2810" s="3"/>
      <c r="C2810" s="3"/>
      <c r="D2810" s="3"/>
    </row>
    <row r="2811" spans="1:4" ht="16.5" customHeight="1">
      <c r="A2811" s="3"/>
      <c r="B2811" s="3"/>
      <c r="C2811" s="3"/>
      <c r="D2811" s="3"/>
    </row>
    <row r="2812" spans="1:4" ht="16.5" customHeight="1">
      <c r="A2812" s="3"/>
      <c r="B2812" s="3"/>
      <c r="C2812" s="3"/>
      <c r="D2812" s="3"/>
    </row>
    <row r="2813" spans="1:4" ht="16.5" customHeight="1">
      <c r="A2813" s="3"/>
      <c r="B2813" s="3"/>
      <c r="C2813" s="3"/>
      <c r="D2813" s="3"/>
    </row>
    <row r="2814" spans="1:4" ht="16.5" customHeight="1">
      <c r="A2814" s="3"/>
      <c r="B2814" s="3"/>
      <c r="C2814" s="3"/>
      <c r="D2814" s="3"/>
    </row>
    <row r="2815" spans="1:4" ht="16.5" customHeight="1">
      <c r="A2815" s="3"/>
      <c r="B2815" s="3"/>
      <c r="C2815" s="3"/>
      <c r="D2815" s="3"/>
    </row>
    <row r="2816" spans="1:4" ht="16.5" customHeight="1">
      <c r="A2816" s="3"/>
      <c r="B2816" s="3"/>
      <c r="C2816" s="3"/>
      <c r="D2816" s="3"/>
    </row>
    <row r="2817" spans="1:4" ht="16.5" customHeight="1">
      <c r="A2817" s="3"/>
      <c r="B2817" s="3"/>
      <c r="C2817" s="3"/>
      <c r="D2817" s="3"/>
    </row>
    <row r="2818" spans="1:4" ht="16.5" customHeight="1">
      <c r="A2818" s="3"/>
      <c r="B2818" s="3"/>
      <c r="C2818" s="3"/>
      <c r="D2818" s="3"/>
    </row>
    <row r="2819" spans="1:4" ht="16.5" customHeight="1">
      <c r="A2819" s="3"/>
      <c r="B2819" s="3"/>
      <c r="C2819" s="3"/>
      <c r="D2819" s="3"/>
    </row>
    <row r="2820" spans="1:4" ht="16.5" customHeight="1">
      <c r="A2820" s="3"/>
      <c r="B2820" s="3"/>
      <c r="C2820" s="3"/>
      <c r="D2820" s="3"/>
    </row>
    <row r="2821" spans="1:4" ht="16.5" customHeight="1">
      <c r="A2821" s="3"/>
      <c r="B2821" s="3"/>
      <c r="C2821" s="3"/>
      <c r="D2821" s="3"/>
    </row>
    <row r="2822" spans="1:4" ht="16.5" customHeight="1">
      <c r="A2822" s="3"/>
      <c r="B2822" s="3"/>
      <c r="C2822" s="3"/>
      <c r="D2822" s="3"/>
    </row>
    <row r="2823" spans="1:4" ht="16.5" customHeight="1">
      <c r="A2823" s="3"/>
      <c r="B2823" s="3"/>
      <c r="C2823" s="3"/>
      <c r="D2823" s="3"/>
    </row>
    <row r="2824" spans="1:4" ht="16.5" customHeight="1">
      <c r="A2824" s="3"/>
      <c r="B2824" s="3"/>
      <c r="C2824" s="3"/>
      <c r="D2824" s="3"/>
    </row>
    <row r="2825" spans="1:4" ht="16.5" customHeight="1">
      <c r="A2825" s="3"/>
      <c r="B2825" s="3"/>
      <c r="C2825" s="3"/>
      <c r="D2825" s="3"/>
    </row>
    <row r="2826" spans="1:4" ht="16.5" customHeight="1">
      <c r="A2826" s="3"/>
      <c r="B2826" s="3"/>
      <c r="C2826" s="3"/>
      <c r="D2826" s="3"/>
    </row>
    <row r="2827" spans="1:4" ht="16.5" customHeight="1">
      <c r="A2827" s="3"/>
      <c r="B2827" s="3"/>
      <c r="C2827" s="3"/>
      <c r="D2827" s="3"/>
    </row>
    <row r="2828" spans="1:4" ht="16.5" customHeight="1">
      <c r="A2828" s="3"/>
      <c r="B2828" s="3"/>
      <c r="C2828" s="3"/>
      <c r="D2828" s="3"/>
    </row>
    <row r="2829" spans="1:4" ht="16.5" customHeight="1">
      <c r="A2829" s="3"/>
      <c r="B2829" s="3"/>
      <c r="C2829" s="3"/>
      <c r="D2829" s="3"/>
    </row>
    <row r="2830" spans="1:4" ht="16.5" customHeight="1">
      <c r="A2830" s="3"/>
      <c r="B2830" s="3"/>
      <c r="C2830" s="3"/>
      <c r="D2830" s="3"/>
    </row>
    <row r="2831" spans="1:4" ht="16.5" customHeight="1">
      <c r="A2831" s="3"/>
      <c r="B2831" s="3"/>
      <c r="C2831" s="3"/>
      <c r="D2831" s="3"/>
    </row>
    <row r="2832" spans="1:4" ht="16.5" customHeight="1">
      <c r="A2832" s="3"/>
      <c r="B2832" s="3"/>
      <c r="C2832" s="3"/>
      <c r="D2832" s="3"/>
    </row>
    <row r="2833" spans="1:4" ht="16.5" customHeight="1">
      <c r="A2833" s="3"/>
      <c r="B2833" s="3"/>
      <c r="C2833" s="3"/>
      <c r="D2833" s="3"/>
    </row>
    <row r="2834" spans="1:4" ht="16.5" customHeight="1">
      <c r="A2834" s="3"/>
      <c r="B2834" s="3"/>
      <c r="C2834" s="3"/>
      <c r="D2834" s="3"/>
    </row>
    <row r="2835" spans="1:4" ht="16.5" customHeight="1">
      <c r="A2835" s="3"/>
      <c r="B2835" s="3"/>
      <c r="C2835" s="3"/>
      <c r="D2835" s="3"/>
    </row>
    <row r="2836" spans="1:4" ht="16.5" customHeight="1">
      <c r="A2836" s="3"/>
      <c r="B2836" s="3"/>
      <c r="C2836" s="3"/>
      <c r="D2836" s="3"/>
    </row>
    <row r="2837" spans="1:4" ht="16.5" customHeight="1">
      <c r="A2837" s="3"/>
      <c r="B2837" s="3"/>
      <c r="C2837" s="3"/>
      <c r="D2837" s="3"/>
    </row>
    <row r="2838" spans="1:4" ht="16.5" customHeight="1">
      <c r="A2838" s="3"/>
      <c r="B2838" s="3"/>
      <c r="C2838" s="3"/>
      <c r="D2838" s="3"/>
    </row>
    <row r="2839" spans="1:4" ht="16.5" customHeight="1">
      <c r="A2839" s="3"/>
      <c r="B2839" s="3"/>
      <c r="C2839" s="3"/>
      <c r="D2839" s="3"/>
    </row>
    <row r="2840" spans="1:4" ht="16.5" customHeight="1">
      <c r="A2840" s="3"/>
      <c r="B2840" s="3"/>
      <c r="C2840" s="3"/>
      <c r="D2840" s="3"/>
    </row>
    <row r="2841" spans="1:4" ht="16.5" customHeight="1">
      <c r="A2841" s="3"/>
      <c r="B2841" s="3"/>
      <c r="C2841" s="3"/>
      <c r="D2841" s="3"/>
    </row>
    <row r="2842" spans="1:4" ht="16.5" customHeight="1">
      <c r="A2842" s="3"/>
      <c r="B2842" s="3"/>
      <c r="C2842" s="3"/>
      <c r="D2842" s="3"/>
    </row>
    <row r="2843" spans="1:4" ht="16.5" customHeight="1">
      <c r="A2843" s="3"/>
      <c r="B2843" s="3"/>
      <c r="C2843" s="3"/>
      <c r="D2843" s="3"/>
    </row>
    <row r="2844" spans="1:4" ht="16.5" customHeight="1">
      <c r="A2844" s="3"/>
      <c r="B2844" s="3"/>
      <c r="C2844" s="3"/>
      <c r="D2844" s="3"/>
    </row>
    <row r="2845" spans="1:4" ht="16.5" customHeight="1">
      <c r="A2845" s="3"/>
      <c r="B2845" s="3"/>
      <c r="C2845" s="3"/>
      <c r="D2845" s="3"/>
    </row>
    <row r="2846" spans="1:4" ht="16.5" customHeight="1">
      <c r="A2846" s="3"/>
      <c r="B2846" s="3"/>
      <c r="C2846" s="3"/>
      <c r="D2846" s="3"/>
    </row>
    <row r="2847" spans="1:4" ht="16.5" customHeight="1">
      <c r="A2847" s="3"/>
      <c r="B2847" s="3"/>
      <c r="C2847" s="3"/>
      <c r="D2847" s="3"/>
    </row>
    <row r="2848" spans="1:4" ht="16.5" customHeight="1">
      <c r="A2848" s="3"/>
      <c r="B2848" s="3"/>
      <c r="C2848" s="3"/>
      <c r="D2848" s="3"/>
    </row>
    <row r="2849" spans="1:4" ht="16.5" customHeight="1">
      <c r="A2849" s="3"/>
      <c r="B2849" s="3"/>
      <c r="C2849" s="3"/>
      <c r="D2849" s="3"/>
    </row>
    <row r="2850" spans="1:4" ht="16.5" customHeight="1">
      <c r="A2850" s="3"/>
      <c r="B2850" s="3"/>
      <c r="C2850" s="3"/>
      <c r="D2850" s="3"/>
    </row>
    <row r="2851" spans="1:4" ht="16.5" customHeight="1">
      <c r="A2851" s="3"/>
      <c r="B2851" s="3"/>
      <c r="C2851" s="3"/>
      <c r="D2851" s="3"/>
    </row>
    <row r="2852" spans="1:4" ht="16.5" customHeight="1">
      <c r="A2852" s="3"/>
      <c r="B2852" s="3"/>
      <c r="C2852" s="3"/>
      <c r="D2852" s="3"/>
    </row>
    <row r="2853" spans="1:4" ht="16.5" customHeight="1">
      <c r="A2853" s="3"/>
      <c r="B2853" s="3"/>
      <c r="C2853" s="3"/>
      <c r="D2853" s="3"/>
    </row>
    <row r="2854" spans="1:4" ht="16.5" customHeight="1">
      <c r="A2854" s="3"/>
      <c r="B2854" s="3"/>
      <c r="C2854" s="3"/>
      <c r="D2854" s="3"/>
    </row>
    <row r="2855" spans="1:4" ht="16.5" customHeight="1">
      <c r="A2855" s="3"/>
      <c r="B2855" s="3"/>
      <c r="C2855" s="3"/>
      <c r="D2855" s="3"/>
    </row>
    <row r="2856" spans="1:4" ht="16.5" customHeight="1">
      <c r="A2856" s="3"/>
      <c r="B2856" s="3"/>
      <c r="C2856" s="3"/>
      <c r="D2856" s="3"/>
    </row>
    <row r="2857" spans="1:4" ht="16.5" customHeight="1">
      <c r="A2857" s="3"/>
      <c r="B2857" s="3"/>
      <c r="C2857" s="3"/>
      <c r="D2857" s="3"/>
    </row>
    <row r="2858" spans="1:4" ht="16.5" customHeight="1">
      <c r="A2858" s="3"/>
      <c r="B2858" s="3"/>
      <c r="C2858" s="3"/>
      <c r="D2858" s="3"/>
    </row>
    <row r="2859" spans="1:4" ht="16.5" customHeight="1">
      <c r="A2859" s="3"/>
      <c r="B2859" s="3"/>
      <c r="C2859" s="3"/>
      <c r="D2859" s="3"/>
    </row>
    <row r="2860" spans="1:4" ht="16.5" customHeight="1">
      <c r="A2860" s="3"/>
      <c r="B2860" s="3"/>
      <c r="C2860" s="3"/>
      <c r="D2860" s="3"/>
    </row>
    <row r="2861" spans="1:4" ht="16.5" customHeight="1">
      <c r="A2861" s="3"/>
      <c r="B2861" s="3"/>
      <c r="C2861" s="3"/>
      <c r="D2861" s="3"/>
    </row>
    <row r="2862" spans="1:4" ht="16.5" customHeight="1">
      <c r="A2862" s="3"/>
      <c r="B2862" s="3"/>
      <c r="C2862" s="3"/>
      <c r="D2862" s="3"/>
    </row>
    <row r="2863" spans="1:4" ht="16.5" customHeight="1">
      <c r="A2863" s="3"/>
      <c r="B2863" s="3"/>
      <c r="C2863" s="3"/>
      <c r="D2863" s="3"/>
    </row>
    <row r="2864" spans="1:4" ht="16.5" customHeight="1">
      <c r="A2864" s="3"/>
      <c r="B2864" s="3"/>
      <c r="C2864" s="3"/>
      <c r="D2864" s="3"/>
    </row>
    <row r="2865" spans="1:4" ht="16.5" customHeight="1">
      <c r="A2865" s="3"/>
      <c r="B2865" s="3"/>
      <c r="C2865" s="3"/>
      <c r="D2865" s="3"/>
    </row>
    <row r="2866" spans="1:4" ht="16.5" customHeight="1">
      <c r="A2866" s="3"/>
      <c r="B2866" s="3"/>
      <c r="C2866" s="3"/>
      <c r="D2866" s="3"/>
    </row>
    <row r="2867" spans="1:4" ht="16.5" customHeight="1">
      <c r="A2867" s="3"/>
      <c r="B2867" s="3"/>
      <c r="C2867" s="3"/>
      <c r="D2867" s="3"/>
    </row>
    <row r="2868" spans="1:4" ht="16.5" customHeight="1">
      <c r="A2868" s="3"/>
      <c r="B2868" s="3"/>
      <c r="C2868" s="3"/>
      <c r="D2868" s="3"/>
    </row>
    <row r="2869" spans="1:4" ht="16.5" customHeight="1">
      <c r="A2869" s="3"/>
      <c r="B2869" s="3"/>
      <c r="C2869" s="3"/>
      <c r="D2869" s="3"/>
    </row>
    <row r="2870" spans="1:4" ht="16.5" customHeight="1">
      <c r="A2870" s="3"/>
      <c r="B2870" s="3"/>
      <c r="C2870" s="3"/>
      <c r="D2870" s="3"/>
    </row>
    <row r="2871" spans="1:4" ht="16.5" customHeight="1">
      <c r="A2871" s="3"/>
      <c r="B2871" s="3"/>
      <c r="C2871" s="3"/>
      <c r="D2871" s="3"/>
    </row>
    <row r="2872" spans="1:4" ht="16.5" customHeight="1">
      <c r="A2872" s="3"/>
      <c r="B2872" s="3"/>
      <c r="C2872" s="3"/>
      <c r="D2872" s="3"/>
    </row>
    <row r="2873" spans="1:4" ht="16.5" customHeight="1">
      <c r="A2873" s="3"/>
      <c r="B2873" s="3"/>
      <c r="C2873" s="3"/>
      <c r="D2873" s="3"/>
    </row>
    <row r="2874" spans="1:4" ht="16.5" customHeight="1">
      <c r="A2874" s="3"/>
      <c r="B2874" s="3"/>
      <c r="C2874" s="3"/>
      <c r="D2874" s="3"/>
    </row>
    <row r="2875" spans="1:4" ht="16.5" customHeight="1">
      <c r="A2875" s="3"/>
      <c r="B2875" s="3"/>
      <c r="C2875" s="3"/>
      <c r="D2875" s="3"/>
    </row>
    <row r="2876" spans="1:4" ht="16.5" customHeight="1">
      <c r="A2876" s="3"/>
      <c r="B2876" s="3"/>
      <c r="C2876" s="3"/>
      <c r="D2876" s="3"/>
    </row>
    <row r="2877" spans="1:4" ht="16.5" customHeight="1">
      <c r="A2877" s="3"/>
      <c r="B2877" s="3"/>
      <c r="C2877" s="3"/>
      <c r="D2877" s="3"/>
    </row>
    <row r="2878" spans="1:4" ht="16.5" customHeight="1">
      <c r="A2878" s="3"/>
      <c r="B2878" s="3"/>
      <c r="C2878" s="3"/>
      <c r="D2878" s="3"/>
    </row>
    <row r="2879" spans="1:4" ht="16.5" customHeight="1">
      <c r="A2879" s="3"/>
      <c r="B2879" s="3"/>
      <c r="C2879" s="3"/>
      <c r="D2879" s="3"/>
    </row>
    <row r="2880" spans="1:4" ht="16.5" customHeight="1">
      <c r="A2880" s="3"/>
      <c r="B2880" s="3"/>
      <c r="C2880" s="3"/>
      <c r="D2880" s="3"/>
    </row>
    <row r="2881" spans="1:4" ht="16.5" customHeight="1">
      <c r="A2881" s="3"/>
      <c r="B2881" s="3"/>
      <c r="C2881" s="3"/>
      <c r="D2881" s="3"/>
    </row>
    <row r="2882" spans="1:4" ht="16.5" customHeight="1">
      <c r="A2882" s="3"/>
      <c r="B2882" s="3"/>
      <c r="C2882" s="3"/>
      <c r="D2882" s="3"/>
    </row>
    <row r="2883" spans="1:4" ht="16.5" customHeight="1">
      <c r="A2883" s="3"/>
      <c r="B2883" s="3"/>
      <c r="C2883" s="3"/>
      <c r="D2883" s="3"/>
    </row>
    <row r="2884" spans="1:4" ht="16.5" customHeight="1">
      <c r="A2884" s="3"/>
      <c r="B2884" s="3"/>
      <c r="C2884" s="3"/>
      <c r="D2884" s="3"/>
    </row>
    <row r="2885" spans="1:4" ht="16.5" customHeight="1">
      <c r="A2885" s="3"/>
      <c r="B2885" s="3"/>
      <c r="C2885" s="3"/>
      <c r="D2885" s="3"/>
    </row>
    <row r="2886" spans="1:4" ht="16.5" customHeight="1">
      <c r="A2886" s="3"/>
      <c r="B2886" s="3"/>
      <c r="C2886" s="3"/>
      <c r="D2886" s="3"/>
    </row>
    <row r="2887" spans="1:4" ht="16.5" customHeight="1">
      <c r="A2887" s="3"/>
      <c r="B2887" s="3"/>
      <c r="C2887" s="3"/>
      <c r="D2887" s="3"/>
    </row>
    <row r="2888" spans="1:4" ht="16.5" customHeight="1">
      <c r="A2888" s="3"/>
      <c r="B2888" s="3"/>
      <c r="C2888" s="3"/>
      <c r="D2888" s="3"/>
    </row>
    <row r="2889" spans="1:4" ht="16.5" customHeight="1">
      <c r="A2889" s="3"/>
      <c r="B2889" s="3"/>
      <c r="C2889" s="3"/>
      <c r="D2889" s="3"/>
    </row>
    <row r="2890" spans="1:4" ht="16.5" customHeight="1">
      <c r="A2890" s="3"/>
      <c r="B2890" s="3"/>
      <c r="C2890" s="3"/>
      <c r="D2890" s="3"/>
    </row>
    <row r="2891" spans="1:4" ht="16.5" customHeight="1">
      <c r="A2891" s="3"/>
      <c r="B2891" s="3"/>
      <c r="C2891" s="3"/>
      <c r="D2891" s="3"/>
    </row>
    <row r="2892" spans="1:4" ht="16.5" customHeight="1">
      <c r="A2892" s="3"/>
      <c r="B2892" s="3"/>
      <c r="C2892" s="3"/>
      <c r="D2892" s="3"/>
    </row>
    <row r="2893" spans="1:4" ht="16.5" customHeight="1">
      <c r="A2893" s="3"/>
      <c r="B2893" s="3"/>
      <c r="C2893" s="3"/>
      <c r="D2893" s="3"/>
    </row>
    <row r="2894" spans="1:4" ht="16.5" customHeight="1">
      <c r="A2894" s="3"/>
      <c r="B2894" s="3"/>
      <c r="C2894" s="3"/>
      <c r="D2894" s="3"/>
    </row>
    <row r="2895" spans="1:4" ht="16.5" customHeight="1">
      <c r="A2895" s="3"/>
      <c r="B2895" s="3"/>
      <c r="C2895" s="3"/>
      <c r="D2895" s="3"/>
    </row>
    <row r="2896" spans="1:4" ht="16.5" customHeight="1">
      <c r="A2896" s="3"/>
      <c r="B2896" s="3"/>
      <c r="C2896" s="3"/>
      <c r="D2896" s="3"/>
    </row>
    <row r="2897" spans="1:4" ht="16.5" customHeight="1">
      <c r="A2897" s="3"/>
      <c r="B2897" s="3"/>
      <c r="C2897" s="3"/>
      <c r="D2897" s="3"/>
    </row>
    <row r="2898" spans="1:4" ht="16.5" customHeight="1">
      <c r="A2898" s="3"/>
      <c r="B2898" s="3"/>
      <c r="C2898" s="3"/>
      <c r="D2898" s="3"/>
    </row>
    <row r="2899" spans="1:4" ht="16.5" customHeight="1">
      <c r="A2899" s="3"/>
      <c r="B2899" s="3"/>
      <c r="C2899" s="3"/>
      <c r="D2899" s="3"/>
    </row>
    <row r="2900" spans="1:4" ht="16.5" customHeight="1">
      <c r="A2900" s="3"/>
      <c r="B2900" s="3"/>
      <c r="C2900" s="3"/>
      <c r="D2900" s="3"/>
    </row>
    <row r="2901" spans="1:4" ht="16.5" customHeight="1">
      <c r="A2901" s="3"/>
      <c r="B2901" s="3"/>
      <c r="C2901" s="3"/>
      <c r="D2901" s="3"/>
    </row>
    <row r="2902" spans="1:4" ht="16.5" customHeight="1">
      <c r="A2902" s="3"/>
      <c r="B2902" s="3"/>
      <c r="C2902" s="3"/>
      <c r="D2902" s="3"/>
    </row>
    <row r="2903" spans="1:4" ht="16.5" customHeight="1">
      <c r="A2903" s="3"/>
      <c r="B2903" s="3"/>
      <c r="C2903" s="3"/>
      <c r="D2903" s="3"/>
    </row>
    <row r="2904" spans="1:4" ht="16.5" customHeight="1">
      <c r="A2904" s="3"/>
      <c r="B2904" s="3"/>
      <c r="C2904" s="3"/>
      <c r="D2904" s="3"/>
    </row>
    <row r="2905" spans="1:4" ht="16.5" customHeight="1">
      <c r="A2905" s="3"/>
      <c r="B2905" s="3"/>
      <c r="C2905" s="3"/>
      <c r="D2905" s="3"/>
    </row>
    <row r="2906" spans="1:4" ht="16.5" customHeight="1">
      <c r="A2906" s="3"/>
      <c r="B2906" s="3"/>
      <c r="C2906" s="3"/>
      <c r="D2906" s="3"/>
    </row>
    <row r="2907" spans="1:4" ht="16.5" customHeight="1">
      <c r="A2907" s="3"/>
      <c r="B2907" s="3"/>
      <c r="C2907" s="3"/>
      <c r="D2907" s="3"/>
    </row>
    <row r="2908" spans="1:4" ht="16.5" customHeight="1">
      <c r="A2908" s="3"/>
      <c r="B2908" s="3"/>
      <c r="C2908" s="3"/>
      <c r="D2908" s="3"/>
    </row>
    <row r="2909" spans="1:4" ht="16.5" customHeight="1">
      <c r="A2909" s="3"/>
      <c r="B2909" s="3"/>
      <c r="C2909" s="3"/>
      <c r="D2909" s="3"/>
    </row>
    <row r="2910" spans="1:4" ht="16.5" customHeight="1">
      <c r="A2910" s="3"/>
      <c r="B2910" s="3"/>
      <c r="C2910" s="3"/>
      <c r="D2910" s="3"/>
    </row>
    <row r="2911" spans="1:4" ht="16.5" customHeight="1">
      <c r="A2911" s="3"/>
      <c r="B2911" s="3"/>
      <c r="C2911" s="3"/>
      <c r="D2911" s="3"/>
    </row>
    <row r="2912" spans="1:4" ht="16.5" customHeight="1">
      <c r="A2912" s="3"/>
      <c r="B2912" s="3"/>
      <c r="C2912" s="3"/>
      <c r="D2912" s="3"/>
    </row>
    <row r="2913" spans="1:4" ht="16.5" customHeight="1">
      <c r="A2913" s="3"/>
      <c r="B2913" s="3"/>
      <c r="C2913" s="3"/>
      <c r="D2913" s="3"/>
    </row>
    <row r="2914" spans="1:4" ht="16.5" customHeight="1">
      <c r="A2914" s="3"/>
      <c r="B2914" s="3"/>
      <c r="C2914" s="3"/>
      <c r="D2914" s="3"/>
    </row>
    <row r="2915" spans="1:4" ht="16.5" customHeight="1">
      <c r="A2915" s="3"/>
      <c r="B2915" s="3"/>
      <c r="C2915" s="3"/>
      <c r="D2915" s="3"/>
    </row>
    <row r="2916" spans="1:4" ht="16.5" customHeight="1">
      <c r="A2916" s="3"/>
      <c r="B2916" s="3"/>
      <c r="C2916" s="3"/>
      <c r="D2916" s="3"/>
    </row>
    <row r="2917" spans="1:4" ht="16.5" customHeight="1">
      <c r="A2917" s="3"/>
      <c r="B2917" s="3"/>
      <c r="C2917" s="3"/>
      <c r="D2917" s="3"/>
    </row>
    <row r="2918" spans="1:4" ht="16.5" customHeight="1">
      <c r="A2918" s="3"/>
      <c r="B2918" s="3"/>
      <c r="C2918" s="3"/>
      <c r="D2918" s="3"/>
    </row>
    <row r="2919" spans="1:4" ht="16.5" customHeight="1">
      <c r="A2919" s="3"/>
      <c r="B2919" s="3"/>
      <c r="C2919" s="3"/>
      <c r="D2919" s="3"/>
    </row>
    <row r="2920" spans="1:4" ht="16.5" customHeight="1">
      <c r="A2920" s="3"/>
      <c r="B2920" s="3"/>
      <c r="C2920" s="3"/>
      <c r="D2920" s="3"/>
    </row>
    <row r="2921" spans="1:4" ht="16.5" customHeight="1">
      <c r="A2921" s="3"/>
      <c r="B2921" s="3"/>
      <c r="C2921" s="3"/>
      <c r="D2921" s="3"/>
    </row>
    <row r="2922" spans="1:4" ht="16.5" customHeight="1">
      <c r="A2922" s="3"/>
      <c r="B2922" s="3"/>
      <c r="C2922" s="3"/>
      <c r="D2922" s="3"/>
    </row>
    <row r="2923" spans="1:4" ht="16.5" customHeight="1">
      <c r="A2923" s="3"/>
      <c r="B2923" s="3"/>
      <c r="C2923" s="3"/>
      <c r="D2923" s="3"/>
    </row>
    <row r="2924" spans="1:4" ht="16.5" customHeight="1">
      <c r="A2924" s="3"/>
      <c r="B2924" s="3"/>
      <c r="C2924" s="3"/>
      <c r="D2924" s="3"/>
    </row>
    <row r="2925" spans="1:4" ht="16.5" customHeight="1">
      <c r="A2925" s="3"/>
      <c r="B2925" s="3"/>
      <c r="C2925" s="3"/>
      <c r="D2925" s="3"/>
    </row>
    <row r="2926" spans="1:4" ht="16.5" customHeight="1">
      <c r="A2926" s="3"/>
      <c r="B2926" s="3"/>
      <c r="C2926" s="3"/>
      <c r="D2926" s="3"/>
    </row>
    <row r="2927" spans="1:4" ht="16.5" customHeight="1">
      <c r="A2927" s="3"/>
      <c r="B2927" s="3"/>
      <c r="C2927" s="3"/>
      <c r="D2927" s="3"/>
    </row>
    <row r="2928" spans="1:4" ht="16.5" customHeight="1">
      <c r="A2928" s="3"/>
      <c r="B2928" s="3"/>
      <c r="C2928" s="3"/>
      <c r="D2928" s="3"/>
    </row>
    <row r="2929" spans="1:4" ht="16.5" customHeight="1">
      <c r="A2929" s="3"/>
      <c r="B2929" s="3"/>
      <c r="C2929" s="3"/>
      <c r="D2929" s="3"/>
    </row>
    <row r="2930" spans="1:4" ht="16.5" customHeight="1">
      <c r="A2930" s="3"/>
      <c r="B2930" s="3"/>
      <c r="C2930" s="3"/>
      <c r="D2930" s="3"/>
    </row>
    <row r="2931" spans="1:4" ht="16.5" customHeight="1">
      <c r="A2931" s="3"/>
      <c r="B2931" s="3"/>
      <c r="C2931" s="3"/>
      <c r="D2931" s="3"/>
    </row>
    <row r="2932" spans="1:4" ht="16.5" customHeight="1">
      <c r="A2932" s="3"/>
      <c r="B2932" s="3"/>
      <c r="C2932" s="3"/>
      <c r="D2932" s="3"/>
    </row>
    <row r="2933" spans="1:4" ht="16.5" customHeight="1">
      <c r="A2933" s="3"/>
      <c r="B2933" s="3"/>
      <c r="C2933" s="3"/>
      <c r="D2933" s="3"/>
    </row>
    <row r="2934" spans="1:4" ht="16.5" customHeight="1">
      <c r="A2934" s="3"/>
      <c r="B2934" s="3"/>
      <c r="C2934" s="3"/>
      <c r="D2934" s="3"/>
    </row>
    <row r="2935" spans="1:4" ht="16.5" customHeight="1">
      <c r="A2935" s="3"/>
      <c r="B2935" s="3"/>
      <c r="C2935" s="3"/>
      <c r="D2935" s="3"/>
    </row>
    <row r="2936" spans="1:4" ht="16.5" customHeight="1">
      <c r="A2936" s="3"/>
      <c r="B2936" s="3"/>
      <c r="C2936" s="3"/>
      <c r="D2936" s="3"/>
    </row>
    <row r="2937" spans="1:4" ht="16.5" customHeight="1">
      <c r="A2937" s="3"/>
      <c r="B2937" s="3"/>
      <c r="C2937" s="3"/>
      <c r="D2937" s="3"/>
    </row>
    <row r="2938" spans="1:4" ht="16.5" customHeight="1">
      <c r="A2938" s="3"/>
      <c r="B2938" s="3"/>
      <c r="C2938" s="3"/>
      <c r="D2938" s="3"/>
    </row>
    <row r="2939" spans="1:4" ht="16.5" customHeight="1">
      <c r="A2939" s="3"/>
      <c r="B2939" s="3"/>
      <c r="C2939" s="3"/>
      <c r="D2939" s="3"/>
    </row>
    <row r="2940" spans="1:4" ht="16.5" customHeight="1">
      <c r="A2940" s="3"/>
      <c r="B2940" s="3"/>
      <c r="C2940" s="3"/>
      <c r="D2940" s="3"/>
    </row>
    <row r="2941" spans="1:4" ht="16.5" customHeight="1">
      <c r="A2941" s="3"/>
      <c r="B2941" s="3"/>
      <c r="C2941" s="3"/>
      <c r="D2941" s="3"/>
    </row>
    <row r="2942" spans="1:4" ht="16.5" customHeight="1">
      <c r="A2942" s="3"/>
      <c r="B2942" s="3"/>
      <c r="C2942" s="3"/>
      <c r="D2942" s="3"/>
    </row>
    <row r="2943" spans="1:4" ht="16.5" customHeight="1">
      <c r="A2943" s="3"/>
      <c r="B2943" s="3"/>
      <c r="C2943" s="3"/>
      <c r="D2943" s="3"/>
    </row>
    <row r="2944" spans="1:4" ht="16.5" customHeight="1">
      <c r="A2944" s="3"/>
      <c r="B2944" s="3"/>
      <c r="C2944" s="3"/>
      <c r="D2944" s="3"/>
    </row>
    <row r="2945" spans="1:4" ht="16.5" customHeight="1">
      <c r="A2945" s="3"/>
      <c r="B2945" s="3"/>
      <c r="C2945" s="3"/>
      <c r="D2945" s="3"/>
    </row>
    <row r="2946" spans="1:4" ht="16.5" customHeight="1">
      <c r="A2946" s="3"/>
      <c r="B2946" s="3"/>
      <c r="C2946" s="3"/>
      <c r="D2946" s="3"/>
    </row>
    <row r="2947" spans="1:4" ht="16.5" customHeight="1">
      <c r="A2947" s="3"/>
      <c r="B2947" s="3"/>
      <c r="C2947" s="3"/>
      <c r="D2947" s="3"/>
    </row>
    <row r="2948" spans="1:4" ht="16.5" customHeight="1">
      <c r="A2948" s="3"/>
      <c r="B2948" s="3"/>
      <c r="C2948" s="3"/>
      <c r="D2948" s="3"/>
    </row>
    <row r="2949" spans="1:4" ht="16.5" customHeight="1">
      <c r="A2949" s="3"/>
      <c r="B2949" s="3"/>
      <c r="C2949" s="3"/>
      <c r="D2949" s="3"/>
    </row>
    <row r="2950" spans="1:4" ht="16.5" customHeight="1">
      <c r="A2950" s="3"/>
      <c r="B2950" s="3"/>
      <c r="C2950" s="3"/>
      <c r="D2950" s="3"/>
    </row>
    <row r="2951" spans="1:4" ht="16.5" customHeight="1">
      <c r="A2951" s="3"/>
      <c r="B2951" s="3"/>
      <c r="C2951" s="3"/>
      <c r="D2951" s="3"/>
    </row>
    <row r="2952" spans="1:4" ht="16.5" customHeight="1">
      <c r="A2952" s="3"/>
      <c r="B2952" s="3"/>
      <c r="C2952" s="3"/>
      <c r="D2952" s="3"/>
    </row>
    <row r="2953" spans="1:4" ht="16.5" customHeight="1">
      <c r="A2953" s="3"/>
      <c r="B2953" s="3"/>
      <c r="C2953" s="3"/>
      <c r="D2953" s="3"/>
    </row>
    <row r="2954" spans="1:4" ht="16.5" customHeight="1">
      <c r="A2954" s="3"/>
      <c r="B2954" s="3"/>
      <c r="C2954" s="3"/>
      <c r="D2954" s="3"/>
    </row>
    <row r="2955" spans="1:4" ht="16.5" customHeight="1">
      <c r="A2955" s="3"/>
      <c r="B2955" s="3"/>
      <c r="C2955" s="3"/>
      <c r="D2955" s="3"/>
    </row>
    <row r="2956" spans="1:4" ht="16.5" customHeight="1">
      <c r="A2956" s="3"/>
      <c r="B2956" s="3"/>
      <c r="C2956" s="3"/>
      <c r="D2956" s="3"/>
    </row>
    <row r="2957" spans="1:4" ht="16.5" customHeight="1">
      <c r="A2957" s="3"/>
      <c r="B2957" s="3"/>
      <c r="C2957" s="3"/>
      <c r="D2957" s="3"/>
    </row>
    <row r="2958" spans="1:4" ht="16.5" customHeight="1">
      <c r="A2958" s="3"/>
      <c r="B2958" s="3"/>
      <c r="C2958" s="3"/>
      <c r="D2958" s="3"/>
    </row>
    <row r="2959" spans="1:4" ht="16.5" customHeight="1">
      <c r="A2959" s="3"/>
      <c r="B2959" s="3"/>
      <c r="C2959" s="3"/>
      <c r="D2959" s="3"/>
    </row>
    <row r="2960" spans="1:4" ht="16.5" customHeight="1">
      <c r="A2960" s="3"/>
      <c r="B2960" s="3"/>
      <c r="C2960" s="3"/>
      <c r="D2960" s="3"/>
    </row>
    <row r="2961" spans="1:4" ht="16.5" customHeight="1">
      <c r="A2961" s="3"/>
      <c r="B2961" s="3"/>
      <c r="C2961" s="3"/>
      <c r="D2961" s="3"/>
    </row>
    <row r="2962" spans="1:4" ht="16.5" customHeight="1">
      <c r="A2962" s="3"/>
      <c r="B2962" s="3"/>
      <c r="C2962" s="3"/>
      <c r="D2962" s="3"/>
    </row>
    <row r="2963" spans="1:4" ht="16.5" customHeight="1">
      <c r="A2963" s="3"/>
      <c r="B2963" s="3"/>
      <c r="C2963" s="3"/>
      <c r="D2963" s="3"/>
    </row>
    <row r="2964" spans="1:4" ht="16.5" customHeight="1">
      <c r="A2964" s="3"/>
      <c r="B2964" s="3"/>
      <c r="C2964" s="3"/>
      <c r="D2964" s="3"/>
    </row>
    <row r="2965" spans="1:4" ht="16.5" customHeight="1">
      <c r="A2965" s="3"/>
      <c r="B2965" s="3"/>
      <c r="C2965" s="3"/>
      <c r="D2965" s="3"/>
    </row>
    <row r="2966" spans="1:4" ht="16.5" customHeight="1">
      <c r="A2966" s="3"/>
      <c r="B2966" s="3"/>
      <c r="C2966" s="3"/>
      <c r="D2966" s="3"/>
    </row>
    <row r="2967" spans="1:4" ht="16.5" customHeight="1">
      <c r="A2967" s="3"/>
      <c r="B2967" s="3"/>
      <c r="C2967" s="3"/>
      <c r="D2967" s="3"/>
    </row>
    <row r="2968" spans="1:4" ht="16.5" customHeight="1">
      <c r="A2968" s="3"/>
      <c r="B2968" s="3"/>
      <c r="C2968" s="3"/>
      <c r="D2968" s="3"/>
    </row>
    <row r="2969" spans="1:4" ht="16.5" customHeight="1">
      <c r="A2969" s="3"/>
      <c r="B2969" s="3"/>
      <c r="C2969" s="3"/>
      <c r="D2969" s="3"/>
    </row>
    <row r="2970" spans="1:4" ht="16.5" customHeight="1">
      <c r="A2970" s="3"/>
      <c r="B2970" s="3"/>
      <c r="C2970" s="3"/>
      <c r="D2970" s="3"/>
    </row>
    <row r="2971" spans="1:4" ht="16.5" customHeight="1">
      <c r="A2971" s="3"/>
      <c r="B2971" s="3"/>
      <c r="C2971" s="3"/>
      <c r="D2971" s="3"/>
    </row>
    <row r="2972" spans="1:4" ht="16.5" customHeight="1">
      <c r="A2972" s="3"/>
      <c r="B2972" s="3"/>
      <c r="C2972" s="3"/>
      <c r="D2972" s="3"/>
    </row>
    <row r="2973" spans="1:4" ht="16.5" customHeight="1">
      <c r="A2973" s="3"/>
      <c r="B2973" s="3"/>
      <c r="C2973" s="3"/>
      <c r="D2973" s="3"/>
    </row>
    <row r="2974" spans="1:4" ht="16.5" customHeight="1">
      <c r="A2974" s="3"/>
      <c r="B2974" s="3"/>
      <c r="C2974" s="3"/>
      <c r="D2974" s="3"/>
    </row>
    <row r="2975" spans="1:4" ht="16.5" customHeight="1">
      <c r="A2975" s="3"/>
      <c r="B2975" s="3"/>
      <c r="C2975" s="3"/>
      <c r="D2975" s="3"/>
    </row>
    <row r="2976" spans="1:4" ht="16.5" customHeight="1">
      <c r="A2976" s="3"/>
      <c r="B2976" s="3"/>
      <c r="C2976" s="3"/>
      <c r="D2976" s="3"/>
    </row>
    <row r="2977" spans="1:4" ht="16.5" customHeight="1">
      <c r="A2977" s="3"/>
      <c r="B2977" s="3"/>
      <c r="C2977" s="3"/>
      <c r="D2977" s="3"/>
    </row>
    <row r="2978" spans="1:4" ht="16.5" customHeight="1">
      <c r="A2978" s="3"/>
      <c r="B2978" s="3"/>
      <c r="C2978" s="3"/>
      <c r="D2978" s="3"/>
    </row>
    <row r="2979" spans="1:4" ht="16.5" customHeight="1">
      <c r="A2979" s="3"/>
      <c r="B2979" s="3"/>
      <c r="C2979" s="3"/>
      <c r="D2979" s="3"/>
    </row>
    <row r="2980" spans="1:4" ht="16.5" customHeight="1">
      <c r="A2980" s="3"/>
      <c r="B2980" s="3"/>
      <c r="C2980" s="3"/>
      <c r="D2980" s="3"/>
    </row>
    <row r="2981" spans="1:4" ht="16.5" customHeight="1">
      <c r="A2981" s="3"/>
      <c r="B2981" s="3"/>
      <c r="C2981" s="3"/>
      <c r="D2981" s="3"/>
    </row>
    <row r="2982" spans="1:4" ht="16.5" customHeight="1">
      <c r="A2982" s="3"/>
      <c r="B2982" s="3"/>
      <c r="C2982" s="3"/>
      <c r="D2982" s="3"/>
    </row>
    <row r="2983" spans="1:4" ht="16.5" customHeight="1">
      <c r="A2983" s="3"/>
      <c r="B2983" s="3"/>
      <c r="C2983" s="3"/>
      <c r="D2983" s="3"/>
    </row>
    <row r="2984" spans="1:4" ht="16.5" customHeight="1">
      <c r="A2984" s="3"/>
      <c r="B2984" s="3"/>
      <c r="C2984" s="3"/>
      <c r="D2984" s="3"/>
    </row>
    <row r="2985" spans="1:4" ht="16.5" customHeight="1">
      <c r="A2985" s="3"/>
      <c r="B2985" s="3"/>
      <c r="C2985" s="3"/>
      <c r="D2985" s="3"/>
    </row>
    <row r="2986" spans="1:4" ht="16.5" customHeight="1">
      <c r="A2986" s="3"/>
      <c r="B2986" s="3"/>
      <c r="C2986" s="3"/>
      <c r="D2986" s="3"/>
    </row>
    <row r="2987" spans="1:4" ht="16.5" customHeight="1">
      <c r="A2987" s="3"/>
      <c r="B2987" s="3"/>
      <c r="C2987" s="3"/>
      <c r="D2987" s="3"/>
    </row>
    <row r="2988" spans="1:4" ht="16.5" customHeight="1">
      <c r="A2988" s="3"/>
      <c r="B2988" s="3"/>
      <c r="C2988" s="3"/>
      <c r="D2988" s="3"/>
    </row>
    <row r="2989" spans="1:4" ht="16.5" customHeight="1">
      <c r="A2989" s="3"/>
      <c r="B2989" s="3"/>
      <c r="C2989" s="3"/>
      <c r="D2989" s="3"/>
    </row>
    <row r="2990" spans="1:4" ht="16.5" customHeight="1">
      <c r="A2990" s="3"/>
      <c r="B2990" s="3"/>
      <c r="C2990" s="3"/>
      <c r="D2990" s="3"/>
    </row>
    <row r="2991" spans="1:4" ht="16.5" customHeight="1">
      <c r="A2991" s="3"/>
      <c r="B2991" s="3"/>
      <c r="C2991" s="3"/>
      <c r="D2991" s="3"/>
    </row>
    <row r="2992" spans="1:4" ht="16.5" customHeight="1">
      <c r="A2992" s="3"/>
      <c r="B2992" s="3"/>
      <c r="C2992" s="3"/>
      <c r="D2992" s="3"/>
    </row>
    <row r="2993" spans="1:4" ht="16.5" customHeight="1">
      <c r="A2993" s="3"/>
      <c r="B2993" s="3"/>
      <c r="C2993" s="3"/>
      <c r="D2993" s="3"/>
    </row>
    <row r="2994" spans="1:4" ht="16.5" customHeight="1">
      <c r="A2994" s="3"/>
      <c r="B2994" s="3"/>
      <c r="C2994" s="3"/>
      <c r="D2994" s="3"/>
    </row>
    <row r="2995" spans="1:4" ht="16.5" customHeight="1">
      <c r="A2995" s="3"/>
      <c r="B2995" s="3"/>
      <c r="C2995" s="3"/>
      <c r="D2995" s="3"/>
    </row>
    <row r="2996" spans="1:4" ht="16.5" customHeight="1">
      <c r="A2996" s="3"/>
      <c r="B2996" s="3"/>
      <c r="C2996" s="3"/>
      <c r="D2996" s="3"/>
    </row>
    <row r="2997" spans="1:4" ht="16.5" customHeight="1">
      <c r="A2997" s="3"/>
      <c r="B2997" s="3"/>
      <c r="C2997" s="3"/>
      <c r="D2997" s="3"/>
    </row>
    <row r="2998" spans="1:4" ht="16.5" customHeight="1">
      <c r="A2998" s="3"/>
      <c r="B2998" s="3"/>
      <c r="C2998" s="3"/>
      <c r="D2998" s="3"/>
    </row>
    <row r="2999" spans="1:4" ht="16.5" customHeight="1">
      <c r="A2999" s="3"/>
      <c r="B2999" s="3"/>
      <c r="C2999" s="3"/>
      <c r="D2999" s="3"/>
    </row>
    <row r="3000" spans="1:4" ht="16.5" customHeight="1">
      <c r="A3000" s="3"/>
      <c r="B3000" s="3"/>
      <c r="C3000" s="3"/>
      <c r="D3000" s="3"/>
    </row>
    <row r="3001" spans="1:4" ht="16.5" customHeight="1">
      <c r="A3001" s="3"/>
      <c r="B3001" s="3"/>
      <c r="C3001" s="3"/>
      <c r="D3001" s="3"/>
    </row>
    <row r="3002" spans="1:4" ht="16.5" customHeight="1">
      <c r="A3002" s="3"/>
      <c r="B3002" s="3"/>
      <c r="C3002" s="3"/>
      <c r="D3002" s="3"/>
    </row>
    <row r="3003" spans="1:4" ht="16.5" customHeight="1">
      <c r="A3003" s="3"/>
      <c r="B3003" s="3"/>
      <c r="C3003" s="3"/>
      <c r="D3003" s="3"/>
    </row>
    <row r="3004" spans="1:4" ht="16.5" customHeight="1">
      <c r="A3004" s="3"/>
      <c r="B3004" s="3"/>
      <c r="C3004" s="3"/>
      <c r="D3004" s="3"/>
    </row>
    <row r="3005" spans="1:4" ht="16.5" customHeight="1">
      <c r="A3005" s="3"/>
      <c r="B3005" s="3"/>
      <c r="C3005" s="3"/>
      <c r="D3005" s="3"/>
    </row>
    <row r="3006" spans="1:4" ht="16.5" customHeight="1">
      <c r="A3006" s="3"/>
      <c r="B3006" s="3"/>
      <c r="C3006" s="3"/>
      <c r="D3006" s="3"/>
    </row>
    <row r="3007" spans="1:4" ht="16.5" customHeight="1">
      <c r="A3007" s="3"/>
      <c r="B3007" s="3"/>
      <c r="C3007" s="3"/>
      <c r="D3007" s="3"/>
    </row>
    <row r="3008" spans="1:4" ht="16.5" customHeight="1">
      <c r="A3008" s="3"/>
      <c r="B3008" s="3"/>
      <c r="C3008" s="3"/>
      <c r="D3008" s="3"/>
    </row>
    <row r="3009" spans="1:4" ht="16.5" customHeight="1">
      <c r="A3009" s="3"/>
      <c r="B3009" s="3"/>
      <c r="C3009" s="3"/>
      <c r="D3009" s="3"/>
    </row>
    <row r="3010" spans="1:4" ht="16.5" customHeight="1">
      <c r="A3010" s="3"/>
      <c r="B3010" s="3"/>
      <c r="C3010" s="3"/>
      <c r="D3010" s="3"/>
    </row>
    <row r="3011" spans="1:4" ht="16.5" customHeight="1">
      <c r="A3011" s="3"/>
      <c r="B3011" s="3"/>
      <c r="C3011" s="3"/>
      <c r="D3011" s="3"/>
    </row>
    <row r="3012" spans="1:4" ht="16.5" customHeight="1">
      <c r="A3012" s="3"/>
      <c r="B3012" s="3"/>
      <c r="C3012" s="3"/>
      <c r="D3012" s="3"/>
    </row>
    <row r="3013" spans="1:4" ht="16.5" customHeight="1">
      <c r="A3013" s="3"/>
      <c r="B3013" s="3"/>
      <c r="C3013" s="3"/>
      <c r="D3013" s="3"/>
    </row>
    <row r="3014" spans="1:4" ht="16.5" customHeight="1">
      <c r="A3014" s="3"/>
      <c r="B3014" s="3"/>
      <c r="C3014" s="3"/>
      <c r="D3014" s="3"/>
    </row>
    <row r="3015" spans="1:4" ht="16.5" customHeight="1">
      <c r="A3015" s="3"/>
      <c r="B3015" s="3"/>
      <c r="C3015" s="3"/>
      <c r="D3015" s="3"/>
    </row>
    <row r="3016" spans="1:4" ht="16.5" customHeight="1">
      <c r="A3016" s="3"/>
      <c r="B3016" s="3"/>
      <c r="C3016" s="3"/>
      <c r="D3016" s="3"/>
    </row>
    <row r="3017" spans="1:4" ht="16.5" customHeight="1">
      <c r="A3017" s="3"/>
      <c r="B3017" s="3"/>
      <c r="C3017" s="3"/>
      <c r="D3017" s="3"/>
    </row>
    <row r="3018" spans="1:4" ht="16.5" customHeight="1">
      <c r="A3018" s="3"/>
      <c r="B3018" s="3"/>
      <c r="C3018" s="3"/>
      <c r="D3018" s="3"/>
    </row>
    <row r="3019" spans="1:4" ht="16.5" customHeight="1">
      <c r="A3019" s="3"/>
      <c r="B3019" s="3"/>
      <c r="C3019" s="3"/>
      <c r="D3019" s="3"/>
    </row>
    <row r="3020" spans="1:4" ht="16.5" customHeight="1">
      <c r="A3020" s="3"/>
      <c r="B3020" s="3"/>
      <c r="C3020" s="3"/>
      <c r="D3020" s="3"/>
    </row>
    <row r="3021" spans="1:4" ht="16.5" customHeight="1">
      <c r="A3021" s="3"/>
      <c r="B3021" s="3"/>
      <c r="C3021" s="3"/>
      <c r="D3021" s="3"/>
    </row>
    <row r="3022" spans="1:4" ht="16.5" customHeight="1">
      <c r="A3022" s="3"/>
      <c r="B3022" s="3"/>
      <c r="C3022" s="3"/>
      <c r="D3022" s="3"/>
    </row>
    <row r="3023" spans="1:4" ht="16.5" customHeight="1">
      <c r="A3023" s="3"/>
      <c r="B3023" s="3"/>
      <c r="C3023" s="3"/>
      <c r="D3023" s="3"/>
    </row>
    <row r="3024" spans="1:4" ht="16.5" customHeight="1">
      <c r="A3024" s="3"/>
      <c r="B3024" s="3"/>
      <c r="C3024" s="3"/>
      <c r="D3024" s="3"/>
    </row>
    <row r="3025" spans="1:4" ht="16.5" customHeight="1">
      <c r="A3025" s="3"/>
      <c r="B3025" s="3"/>
      <c r="C3025" s="3"/>
      <c r="D3025" s="3"/>
    </row>
    <row r="3026" spans="1:4" ht="16.5" customHeight="1">
      <c r="A3026" s="3"/>
      <c r="B3026" s="3"/>
      <c r="C3026" s="3"/>
      <c r="D3026" s="3"/>
    </row>
    <row r="3027" spans="1:4" ht="16.5" customHeight="1">
      <c r="A3027" s="3"/>
      <c r="B3027" s="3"/>
      <c r="C3027" s="3"/>
      <c r="D3027" s="3"/>
    </row>
    <row r="3028" spans="1:4" ht="16.5" customHeight="1">
      <c r="A3028" s="3"/>
      <c r="B3028" s="3"/>
      <c r="C3028" s="3"/>
      <c r="D3028" s="3"/>
    </row>
    <row r="3029" spans="1:4" ht="16.5" customHeight="1">
      <c r="A3029" s="3"/>
      <c r="B3029" s="3"/>
      <c r="C3029" s="3"/>
      <c r="D3029" s="3"/>
    </row>
    <row r="3030" spans="1:4" ht="16.5" customHeight="1">
      <c r="A3030" s="3"/>
      <c r="B3030" s="3"/>
      <c r="C3030" s="3"/>
      <c r="D3030" s="3"/>
    </row>
    <row r="3031" spans="1:4" ht="16.5" customHeight="1">
      <c r="A3031" s="3"/>
      <c r="B3031" s="3"/>
      <c r="C3031" s="3"/>
      <c r="D3031" s="3"/>
    </row>
    <row r="3032" spans="1:4" ht="16.5" customHeight="1">
      <c r="A3032" s="3"/>
      <c r="B3032" s="3"/>
      <c r="C3032" s="3"/>
      <c r="D3032" s="3"/>
    </row>
    <row r="3033" spans="1:4" ht="16.5" customHeight="1">
      <c r="A3033" s="3"/>
      <c r="B3033" s="3"/>
      <c r="C3033" s="3"/>
      <c r="D3033" s="3"/>
    </row>
    <row r="3034" spans="1:4" ht="16.5" customHeight="1">
      <c r="A3034" s="3"/>
      <c r="B3034" s="3"/>
      <c r="C3034" s="3"/>
      <c r="D3034" s="3"/>
    </row>
    <row r="3035" spans="1:4" ht="16.5" customHeight="1">
      <c r="A3035" s="3"/>
      <c r="B3035" s="3"/>
      <c r="C3035" s="3"/>
      <c r="D3035" s="3"/>
    </row>
    <row r="3036" spans="1:4" ht="16.5" customHeight="1">
      <c r="A3036" s="3"/>
      <c r="B3036" s="3"/>
      <c r="C3036" s="3"/>
      <c r="D3036" s="3"/>
    </row>
    <row r="3037" spans="1:4" ht="16.5" customHeight="1">
      <c r="A3037" s="3"/>
      <c r="B3037" s="3"/>
      <c r="C3037" s="3"/>
      <c r="D3037" s="3"/>
    </row>
    <row r="3038" spans="1:4" ht="16.5" customHeight="1">
      <c r="A3038" s="3"/>
      <c r="B3038" s="3"/>
      <c r="C3038" s="3"/>
      <c r="D3038" s="3"/>
    </row>
    <row r="3039" spans="1:4" ht="16.5" customHeight="1">
      <c r="A3039" s="3"/>
      <c r="B3039" s="3"/>
      <c r="C3039" s="3"/>
      <c r="D3039" s="3"/>
    </row>
    <row r="3040" spans="1:4" ht="16.5" customHeight="1">
      <c r="A3040" s="3"/>
      <c r="B3040" s="3"/>
      <c r="C3040" s="3"/>
      <c r="D3040" s="3"/>
    </row>
    <row r="3041" spans="1:4" ht="16.5" customHeight="1">
      <c r="A3041" s="3"/>
      <c r="B3041" s="3"/>
      <c r="C3041" s="3"/>
      <c r="D3041" s="3"/>
    </row>
    <row r="3042" spans="1:4" ht="16.5" customHeight="1">
      <c r="A3042" s="3"/>
      <c r="B3042" s="3"/>
      <c r="C3042" s="3"/>
      <c r="D3042" s="3"/>
    </row>
    <row r="3043" spans="1:4" ht="16.5" customHeight="1">
      <c r="A3043" s="3"/>
      <c r="B3043" s="3"/>
      <c r="C3043" s="3"/>
      <c r="D3043" s="3"/>
    </row>
    <row r="3044" spans="1:4" ht="16.5" customHeight="1">
      <c r="A3044" s="3"/>
      <c r="B3044" s="3"/>
      <c r="C3044" s="3"/>
      <c r="D3044" s="3"/>
    </row>
    <row r="3045" spans="1:4" ht="16.5" customHeight="1">
      <c r="A3045" s="3"/>
      <c r="B3045" s="3"/>
      <c r="C3045" s="3"/>
      <c r="D3045" s="3"/>
    </row>
    <row r="3046" spans="1:4" ht="16.5" customHeight="1">
      <c r="A3046" s="3"/>
      <c r="B3046" s="3"/>
      <c r="C3046" s="3"/>
      <c r="D3046" s="3"/>
    </row>
    <row r="3047" spans="1:4" ht="16.5" customHeight="1">
      <c r="A3047" s="3"/>
      <c r="B3047" s="3"/>
      <c r="C3047" s="3"/>
      <c r="D3047" s="3"/>
    </row>
    <row r="3048" spans="1:4" ht="16.5" customHeight="1">
      <c r="A3048" s="3"/>
      <c r="B3048" s="3"/>
      <c r="C3048" s="3"/>
      <c r="D3048" s="3"/>
    </row>
    <row r="3049" spans="1:4" ht="16.5" customHeight="1">
      <c r="A3049" s="3"/>
      <c r="B3049" s="3"/>
      <c r="C3049" s="3"/>
      <c r="D3049" s="3"/>
    </row>
    <row r="3050" spans="1:4" ht="16.5" customHeight="1">
      <c r="A3050" s="3"/>
      <c r="B3050" s="3"/>
      <c r="C3050" s="3"/>
      <c r="D3050" s="3"/>
    </row>
    <row r="3051" spans="1:4" ht="16.5" customHeight="1">
      <c r="A3051" s="3"/>
      <c r="B3051" s="3"/>
      <c r="C3051" s="3"/>
      <c r="D3051" s="3"/>
    </row>
    <row r="3052" spans="1:4" ht="16.5" customHeight="1">
      <c r="A3052" s="3"/>
      <c r="B3052" s="3"/>
      <c r="C3052" s="3"/>
      <c r="D3052" s="3"/>
    </row>
    <row r="3053" spans="1:4" ht="16.5" customHeight="1">
      <c r="A3053" s="3"/>
      <c r="B3053" s="3"/>
      <c r="C3053" s="3"/>
      <c r="D3053" s="3"/>
    </row>
    <row r="3054" spans="1:4" ht="16.5" customHeight="1">
      <c r="A3054" s="3"/>
      <c r="B3054" s="3"/>
      <c r="C3054" s="3"/>
      <c r="D3054" s="3"/>
    </row>
    <row r="3055" spans="1:4" ht="16.5" customHeight="1">
      <c r="A3055" s="3"/>
      <c r="B3055" s="3"/>
      <c r="C3055" s="3"/>
      <c r="D3055" s="3"/>
    </row>
    <row r="3056" spans="1:4" ht="16.5" customHeight="1">
      <c r="A3056" s="3"/>
      <c r="B3056" s="3"/>
      <c r="C3056" s="3"/>
      <c r="D3056" s="3"/>
    </row>
    <row r="3057" spans="1:4" ht="16.5" customHeight="1">
      <c r="A3057" s="3"/>
      <c r="B3057" s="3"/>
      <c r="C3057" s="3"/>
      <c r="D3057" s="3"/>
    </row>
    <row r="3058" spans="1:4" ht="16.5" customHeight="1">
      <c r="A3058" s="3"/>
      <c r="B3058" s="3"/>
      <c r="C3058" s="3"/>
      <c r="D3058" s="3"/>
    </row>
    <row r="3059" spans="1:4" ht="16.5" customHeight="1">
      <c r="A3059" s="3"/>
      <c r="B3059" s="3"/>
      <c r="C3059" s="3"/>
      <c r="D3059" s="3"/>
    </row>
    <row r="3060" spans="1:4" ht="16.5" customHeight="1">
      <c r="A3060" s="3"/>
      <c r="B3060" s="3"/>
      <c r="C3060" s="3"/>
      <c r="D3060" s="3"/>
    </row>
    <row r="3061" spans="1:4" ht="16.5" customHeight="1">
      <c r="A3061" s="3"/>
      <c r="B3061" s="3"/>
      <c r="C3061" s="3"/>
      <c r="D3061" s="3"/>
    </row>
    <row r="3062" spans="1:4" ht="16.5" customHeight="1">
      <c r="A3062" s="3"/>
      <c r="B3062" s="3"/>
      <c r="C3062" s="3"/>
      <c r="D3062" s="3"/>
    </row>
    <row r="3063" spans="1:4" ht="16.5" customHeight="1">
      <c r="A3063" s="3"/>
      <c r="B3063" s="3"/>
      <c r="C3063" s="3"/>
      <c r="D3063" s="3"/>
    </row>
    <row r="3064" spans="1:4" ht="16.5" customHeight="1">
      <c r="A3064" s="3"/>
      <c r="B3064" s="3"/>
      <c r="C3064" s="3"/>
      <c r="D3064" s="3"/>
    </row>
    <row r="3065" spans="1:4" ht="16.5" customHeight="1">
      <c r="A3065" s="3"/>
      <c r="B3065" s="3"/>
      <c r="C3065" s="3"/>
      <c r="D3065" s="3"/>
    </row>
    <row r="3066" spans="1:4" ht="16.5" customHeight="1">
      <c r="A3066" s="3"/>
      <c r="B3066" s="3"/>
      <c r="C3066" s="3"/>
      <c r="D3066" s="3"/>
    </row>
    <row r="3067" spans="1:4" ht="16.5" customHeight="1">
      <c r="A3067" s="3"/>
      <c r="B3067" s="3"/>
      <c r="C3067" s="3"/>
      <c r="D3067" s="3"/>
    </row>
    <row r="3068" spans="1:4" ht="16.5" customHeight="1">
      <c r="A3068" s="3"/>
      <c r="B3068" s="3"/>
      <c r="C3068" s="3"/>
      <c r="D3068" s="3"/>
    </row>
    <row r="3069" spans="1:4" ht="16.5" customHeight="1">
      <c r="A3069" s="3"/>
      <c r="B3069" s="3"/>
      <c r="C3069" s="3"/>
      <c r="D3069" s="3"/>
    </row>
    <row r="3070" spans="1:4" ht="16.5" customHeight="1">
      <c r="A3070" s="3"/>
      <c r="B3070" s="3"/>
      <c r="C3070" s="3"/>
      <c r="D3070" s="3"/>
    </row>
    <row r="3071" spans="1:4" ht="16.5" customHeight="1">
      <c r="A3071" s="3"/>
      <c r="B3071" s="3"/>
      <c r="C3071" s="3"/>
      <c r="D3071" s="3"/>
    </row>
    <row r="3072" spans="1:4" ht="16.5" customHeight="1">
      <c r="A3072" s="3"/>
      <c r="B3072" s="3"/>
      <c r="C3072" s="3"/>
      <c r="D3072" s="3"/>
    </row>
    <row r="3073" spans="1:4" ht="16.5" customHeight="1">
      <c r="A3073" s="3"/>
      <c r="B3073" s="3"/>
      <c r="C3073" s="3"/>
      <c r="D3073" s="3"/>
    </row>
    <row r="3074" spans="1:4" ht="16.5" customHeight="1">
      <c r="A3074" s="3"/>
      <c r="B3074" s="3"/>
      <c r="C3074" s="3"/>
      <c r="D3074" s="3"/>
    </row>
    <row r="3075" spans="1:4" ht="16.5" customHeight="1">
      <c r="A3075" s="3"/>
      <c r="B3075" s="3"/>
      <c r="C3075" s="3"/>
      <c r="D3075" s="3"/>
    </row>
    <row r="3076" spans="1:4" ht="16.5" customHeight="1">
      <c r="A3076" s="3"/>
      <c r="B3076" s="3"/>
      <c r="C3076" s="3"/>
      <c r="D3076" s="3"/>
    </row>
    <row r="3077" spans="1:4" ht="16.5" customHeight="1">
      <c r="A3077" s="3"/>
      <c r="B3077" s="3"/>
      <c r="C3077" s="3"/>
      <c r="D3077" s="3"/>
    </row>
    <row r="3078" spans="1:4" ht="16.5" customHeight="1">
      <c r="A3078" s="3"/>
      <c r="B3078" s="3"/>
      <c r="C3078" s="3"/>
      <c r="D3078" s="3"/>
    </row>
    <row r="3079" spans="1:4" ht="16.5" customHeight="1">
      <c r="A3079" s="3"/>
      <c r="B3079" s="3"/>
      <c r="C3079" s="3"/>
      <c r="D3079" s="3"/>
    </row>
    <row r="3080" spans="1:4" ht="16.5" customHeight="1">
      <c r="A3080" s="3"/>
      <c r="B3080" s="3"/>
      <c r="C3080" s="3"/>
      <c r="D3080" s="3"/>
    </row>
    <row r="3081" spans="1:4" ht="16.5" customHeight="1">
      <c r="A3081" s="3"/>
      <c r="B3081" s="3"/>
      <c r="C3081" s="3"/>
      <c r="D3081" s="3"/>
    </row>
    <row r="3082" spans="1:4" ht="16.5" customHeight="1">
      <c r="A3082" s="3"/>
      <c r="B3082" s="3"/>
      <c r="C3082" s="3"/>
      <c r="D3082" s="3"/>
    </row>
    <row r="3083" spans="1:4" ht="16.5" customHeight="1">
      <c r="A3083" s="3"/>
      <c r="B3083" s="3"/>
      <c r="C3083" s="3"/>
      <c r="D3083" s="3"/>
    </row>
    <row r="3084" spans="1:4" ht="16.5" customHeight="1">
      <c r="A3084" s="3"/>
      <c r="B3084" s="3"/>
      <c r="C3084" s="3"/>
      <c r="D3084" s="3"/>
    </row>
    <row r="3085" spans="1:4" ht="16.5" customHeight="1">
      <c r="A3085" s="3"/>
      <c r="B3085" s="3"/>
      <c r="C3085" s="3"/>
      <c r="D3085" s="3"/>
    </row>
    <row r="3086" spans="1:4" ht="16.5" customHeight="1">
      <c r="A3086" s="3"/>
      <c r="B3086" s="3"/>
      <c r="C3086" s="3"/>
      <c r="D3086" s="3"/>
    </row>
    <row r="3087" spans="1:4" ht="16.5" customHeight="1">
      <c r="A3087" s="3"/>
      <c r="B3087" s="3"/>
      <c r="C3087" s="3"/>
      <c r="D3087" s="3"/>
    </row>
    <row r="3088" spans="1:4" ht="16.5" customHeight="1">
      <c r="A3088" s="3"/>
      <c r="B3088" s="3"/>
      <c r="C3088" s="3"/>
      <c r="D3088" s="3"/>
    </row>
    <row r="3089" spans="1:4" ht="16.5" customHeight="1">
      <c r="A3089" s="3"/>
      <c r="B3089" s="3"/>
      <c r="C3089" s="3"/>
      <c r="D3089" s="3"/>
    </row>
    <row r="3090" spans="1:4" ht="16.5" customHeight="1">
      <c r="A3090" s="3"/>
      <c r="B3090" s="3"/>
      <c r="C3090" s="3"/>
      <c r="D3090" s="3"/>
    </row>
    <row r="3091" spans="1:4" ht="16.5" customHeight="1">
      <c r="A3091" s="3"/>
      <c r="B3091" s="3"/>
      <c r="C3091" s="3"/>
      <c r="D3091" s="3"/>
    </row>
    <row r="3092" spans="1:4" ht="16.5" customHeight="1">
      <c r="A3092" s="3"/>
      <c r="B3092" s="3"/>
      <c r="C3092" s="3"/>
      <c r="D3092" s="3"/>
    </row>
    <row r="3093" spans="1:4" ht="16.5" customHeight="1">
      <c r="A3093" s="3"/>
      <c r="B3093" s="3"/>
      <c r="C3093" s="3"/>
      <c r="D3093" s="3"/>
    </row>
    <row r="3094" spans="1:4" ht="16.5" customHeight="1">
      <c r="A3094" s="3"/>
      <c r="B3094" s="3"/>
      <c r="C3094" s="3"/>
      <c r="D3094" s="3"/>
    </row>
    <row r="3095" spans="1:4" ht="16.5" customHeight="1">
      <c r="A3095" s="3"/>
      <c r="B3095" s="3"/>
      <c r="C3095" s="3"/>
      <c r="D3095" s="3"/>
    </row>
    <row r="3096" spans="1:4" ht="16.5" customHeight="1">
      <c r="A3096" s="3"/>
      <c r="B3096" s="3"/>
      <c r="C3096" s="3"/>
      <c r="D3096" s="3"/>
    </row>
    <row r="3097" spans="1:4" ht="16.5" customHeight="1">
      <c r="A3097" s="3"/>
      <c r="B3097" s="3"/>
      <c r="C3097" s="3"/>
      <c r="D3097" s="3"/>
    </row>
    <row r="3098" spans="1:4" ht="16.5" customHeight="1">
      <c r="A3098" s="3"/>
      <c r="B3098" s="3"/>
      <c r="C3098" s="3"/>
      <c r="D3098" s="3"/>
    </row>
    <row r="3099" spans="1:4" ht="16.5" customHeight="1">
      <c r="A3099" s="3"/>
      <c r="B3099" s="3"/>
      <c r="C3099" s="3"/>
      <c r="D3099" s="3"/>
    </row>
    <row r="3100" spans="1:4" ht="16.5" customHeight="1">
      <c r="A3100" s="3"/>
      <c r="B3100" s="3"/>
      <c r="C3100" s="3"/>
      <c r="D3100" s="3"/>
    </row>
    <row r="3101" spans="1:4" ht="16.5" customHeight="1">
      <c r="A3101" s="3"/>
      <c r="B3101" s="3"/>
      <c r="C3101" s="3"/>
      <c r="D3101" s="3"/>
    </row>
    <row r="3102" spans="1:4" ht="16.5" customHeight="1">
      <c r="A3102" s="3"/>
      <c r="B3102" s="3"/>
      <c r="C3102" s="3"/>
      <c r="D3102" s="3"/>
    </row>
    <row r="3103" spans="1:4" ht="16.5" customHeight="1">
      <c r="A3103" s="3"/>
      <c r="B3103" s="3"/>
      <c r="C3103" s="3"/>
      <c r="D3103" s="3"/>
    </row>
    <row r="3104" spans="1:4" ht="16.5" customHeight="1">
      <c r="A3104" s="3"/>
      <c r="B3104" s="3"/>
      <c r="C3104" s="3"/>
      <c r="D3104" s="3"/>
    </row>
    <row r="3105" spans="1:4" ht="16.5" customHeight="1">
      <c r="A3105" s="3"/>
      <c r="B3105" s="3"/>
      <c r="C3105" s="3"/>
      <c r="D3105" s="3"/>
    </row>
    <row r="3106" spans="1:4" ht="16.5" customHeight="1">
      <c r="A3106" s="3"/>
      <c r="B3106" s="3"/>
      <c r="C3106" s="3"/>
      <c r="D3106" s="3"/>
    </row>
    <row r="3107" spans="1:4" ht="16.5" customHeight="1">
      <c r="A3107" s="3"/>
      <c r="B3107" s="3"/>
      <c r="C3107" s="3"/>
      <c r="D3107" s="3"/>
    </row>
    <row r="3108" spans="1:4" ht="16.5" customHeight="1">
      <c r="A3108" s="3"/>
      <c r="B3108" s="3"/>
      <c r="C3108" s="3"/>
      <c r="D3108" s="3"/>
    </row>
    <row r="3109" spans="1:4" ht="16.5" customHeight="1">
      <c r="A3109" s="3"/>
      <c r="B3109" s="3"/>
      <c r="C3109" s="3"/>
      <c r="D3109" s="3"/>
    </row>
    <row r="3110" spans="1:4" ht="16.5" customHeight="1">
      <c r="A3110" s="3"/>
      <c r="B3110" s="3"/>
      <c r="C3110" s="3"/>
      <c r="D3110" s="3"/>
    </row>
    <row r="3111" spans="1:4" ht="16.5" customHeight="1">
      <c r="A3111" s="3"/>
      <c r="B3111" s="3"/>
      <c r="C3111" s="3"/>
      <c r="D3111" s="3"/>
    </row>
    <row r="3112" spans="1:4" ht="16.5" customHeight="1">
      <c r="A3112" s="3"/>
      <c r="B3112" s="3"/>
      <c r="C3112" s="3"/>
      <c r="D3112" s="3"/>
    </row>
    <row r="3113" spans="1:4" ht="16.5" customHeight="1">
      <c r="A3113" s="3"/>
      <c r="B3113" s="3"/>
      <c r="C3113" s="3"/>
      <c r="D3113" s="3"/>
    </row>
    <row r="3114" spans="1:4" ht="16.5" customHeight="1">
      <c r="A3114" s="3"/>
      <c r="B3114" s="3"/>
      <c r="C3114" s="3"/>
      <c r="D3114" s="3"/>
    </row>
    <row r="3115" spans="1:4" ht="16.5" customHeight="1">
      <c r="A3115" s="3"/>
      <c r="B3115" s="3"/>
      <c r="C3115" s="3"/>
      <c r="D3115" s="3"/>
    </row>
    <row r="3116" spans="1:4" ht="16.5" customHeight="1">
      <c r="A3116" s="3"/>
      <c r="B3116" s="3"/>
      <c r="C3116" s="3"/>
      <c r="D3116" s="3"/>
    </row>
    <row r="3117" spans="1:4" ht="16.5" customHeight="1">
      <c r="A3117" s="3"/>
      <c r="B3117" s="3"/>
      <c r="C3117" s="3"/>
      <c r="D3117" s="3"/>
    </row>
    <row r="3118" spans="1:4" ht="16.5" customHeight="1">
      <c r="A3118" s="3"/>
      <c r="B3118" s="3"/>
      <c r="C3118" s="3"/>
      <c r="D3118" s="3"/>
    </row>
    <row r="3119" spans="1:4" ht="16.5" customHeight="1">
      <c r="A3119" s="3"/>
      <c r="B3119" s="3"/>
      <c r="C3119" s="3"/>
      <c r="D3119" s="3"/>
    </row>
    <row r="3120" spans="1:4" ht="16.5" customHeight="1">
      <c r="A3120" s="3"/>
      <c r="B3120" s="3"/>
      <c r="C3120" s="3"/>
      <c r="D3120" s="3"/>
    </row>
    <row r="3121" spans="1:4" ht="16.5" customHeight="1">
      <c r="A3121" s="3"/>
      <c r="B3121" s="3"/>
      <c r="C3121" s="3"/>
      <c r="D3121" s="3"/>
    </row>
    <row r="3122" spans="1:4" ht="16.5" customHeight="1">
      <c r="A3122" s="3"/>
      <c r="B3122" s="3"/>
      <c r="C3122" s="3"/>
      <c r="D3122" s="3"/>
    </row>
    <row r="3123" spans="1:4" ht="16.5" customHeight="1">
      <c r="A3123" s="3"/>
      <c r="B3123" s="3"/>
      <c r="C3123" s="3"/>
      <c r="D3123" s="3"/>
    </row>
    <row r="3124" spans="1:4" ht="16.5" customHeight="1">
      <c r="A3124" s="3"/>
      <c r="B3124" s="3"/>
      <c r="C3124" s="3"/>
      <c r="D3124" s="3"/>
    </row>
    <row r="3125" spans="1:4" ht="16.5" customHeight="1">
      <c r="A3125" s="3"/>
      <c r="B3125" s="3"/>
      <c r="C3125" s="3"/>
      <c r="D3125" s="3"/>
    </row>
    <row r="3126" spans="1:4" ht="16.5" customHeight="1">
      <c r="A3126" s="3"/>
      <c r="B3126" s="3"/>
      <c r="C3126" s="3"/>
      <c r="D3126" s="3"/>
    </row>
    <row r="3127" spans="1:4" ht="16.5" customHeight="1">
      <c r="A3127" s="3"/>
      <c r="B3127" s="3"/>
      <c r="C3127" s="3"/>
      <c r="D3127" s="3"/>
    </row>
    <row r="3128" spans="1:4" ht="16.5" customHeight="1">
      <c r="A3128" s="3"/>
      <c r="B3128" s="3"/>
      <c r="C3128" s="3"/>
      <c r="D3128" s="3"/>
    </row>
    <row r="3129" spans="1:4" ht="16.5" customHeight="1">
      <c r="A3129" s="3"/>
      <c r="B3129" s="3"/>
      <c r="C3129" s="3"/>
      <c r="D3129" s="3"/>
    </row>
    <row r="3130" spans="1:4" ht="16.5" customHeight="1">
      <c r="A3130" s="3"/>
      <c r="B3130" s="3"/>
      <c r="C3130" s="3"/>
      <c r="D3130" s="3"/>
    </row>
    <row r="3131" spans="1:4" ht="16.5" customHeight="1">
      <c r="A3131" s="3"/>
      <c r="B3131" s="3"/>
      <c r="C3131" s="3"/>
      <c r="D3131" s="3"/>
    </row>
    <row r="3132" spans="1:4" ht="16.5" customHeight="1">
      <c r="A3132" s="3"/>
      <c r="B3132" s="3"/>
      <c r="C3132" s="3"/>
      <c r="D3132" s="3"/>
    </row>
    <row r="3133" spans="1:4" ht="16.5" customHeight="1">
      <c r="A3133" s="3"/>
      <c r="B3133" s="3"/>
      <c r="C3133" s="3"/>
      <c r="D3133" s="3"/>
    </row>
    <row r="3134" spans="1:4" ht="16.5" customHeight="1">
      <c r="A3134" s="3"/>
      <c r="B3134" s="3"/>
      <c r="C3134" s="3"/>
      <c r="D3134" s="3"/>
    </row>
    <row r="3135" spans="1:4" ht="16.5" customHeight="1">
      <c r="A3135" s="3"/>
      <c r="B3135" s="3"/>
      <c r="C3135" s="3"/>
      <c r="D3135" s="3"/>
    </row>
    <row r="3136" spans="1:4" ht="16.5" customHeight="1">
      <c r="A3136" s="3"/>
      <c r="B3136" s="3"/>
      <c r="C3136" s="3"/>
      <c r="D3136" s="3"/>
    </row>
    <row r="3137" spans="1:4" ht="16.5" customHeight="1">
      <c r="A3137" s="3"/>
      <c r="B3137" s="3"/>
      <c r="C3137" s="3"/>
      <c r="D3137" s="3"/>
    </row>
    <row r="3138" spans="1:4" ht="16.5" customHeight="1">
      <c r="A3138" s="3"/>
      <c r="B3138" s="3"/>
      <c r="C3138" s="3"/>
      <c r="D3138" s="3"/>
    </row>
    <row r="3139" spans="1:4" ht="16.5" customHeight="1">
      <c r="A3139" s="3"/>
      <c r="B3139" s="3"/>
      <c r="C3139" s="3"/>
      <c r="D3139" s="3"/>
    </row>
    <row r="3140" spans="1:4" ht="16.5" customHeight="1">
      <c r="A3140" s="3"/>
      <c r="B3140" s="3"/>
      <c r="C3140" s="3"/>
      <c r="D3140" s="3"/>
    </row>
    <row r="3141" spans="1:4" ht="16.5" customHeight="1">
      <c r="A3141" s="3"/>
      <c r="B3141" s="3"/>
      <c r="C3141" s="3"/>
      <c r="D3141" s="3"/>
    </row>
    <row r="3142" spans="1:4" ht="16.5" customHeight="1">
      <c r="A3142" s="3"/>
      <c r="B3142" s="3"/>
      <c r="C3142" s="3"/>
      <c r="D3142" s="3"/>
    </row>
    <row r="3143" spans="1:4" ht="16.5" customHeight="1">
      <c r="A3143" s="3"/>
      <c r="B3143" s="3"/>
      <c r="C3143" s="3"/>
      <c r="D3143" s="3"/>
    </row>
    <row r="3144" spans="1:4" ht="16.5" customHeight="1">
      <c r="A3144" s="3"/>
      <c r="B3144" s="3"/>
      <c r="C3144" s="3"/>
      <c r="D3144" s="3"/>
    </row>
    <row r="3145" spans="1:4" ht="16.5" customHeight="1">
      <c r="A3145" s="3"/>
      <c r="B3145" s="3"/>
      <c r="C3145" s="3"/>
      <c r="D3145" s="3"/>
    </row>
    <row r="3146" spans="1:4" ht="16.5" customHeight="1">
      <c r="A3146" s="3"/>
      <c r="B3146" s="3"/>
      <c r="C3146" s="3"/>
      <c r="D3146" s="3"/>
    </row>
    <row r="3147" spans="1:4" ht="16.5" customHeight="1">
      <c r="A3147" s="3"/>
      <c r="B3147" s="3"/>
      <c r="C3147" s="3"/>
      <c r="D3147" s="3"/>
    </row>
    <row r="3148" spans="1:4" ht="16.5" customHeight="1">
      <c r="A3148" s="3"/>
      <c r="B3148" s="3"/>
      <c r="C3148" s="3"/>
      <c r="D3148" s="3"/>
    </row>
    <row r="3149" spans="1:4" ht="16.5" customHeight="1">
      <c r="A3149" s="3"/>
      <c r="B3149" s="3"/>
      <c r="C3149" s="3"/>
      <c r="D3149" s="3"/>
    </row>
    <row r="3150" spans="1:4" ht="16.5" customHeight="1">
      <c r="A3150" s="3"/>
      <c r="B3150" s="3"/>
      <c r="C3150" s="3"/>
      <c r="D3150" s="3"/>
    </row>
    <row r="3151" spans="1:4" ht="16.5" customHeight="1">
      <c r="A3151" s="3"/>
      <c r="B3151" s="3"/>
      <c r="C3151" s="3"/>
      <c r="D3151" s="3"/>
    </row>
    <row r="3152" spans="1:4" ht="16.5" customHeight="1">
      <c r="A3152" s="3"/>
      <c r="B3152" s="3"/>
      <c r="C3152" s="3"/>
      <c r="D3152" s="3"/>
    </row>
    <row r="3153" spans="1:4" ht="16.5" customHeight="1">
      <c r="A3153" s="3"/>
      <c r="B3153" s="3"/>
      <c r="C3153" s="3"/>
      <c r="D3153" s="3"/>
    </row>
    <row r="3154" spans="1:4" ht="16.5" customHeight="1">
      <c r="A3154" s="3"/>
      <c r="B3154" s="3"/>
      <c r="C3154" s="3"/>
      <c r="D3154" s="3"/>
    </row>
    <row r="3155" spans="1:4" ht="16.5" customHeight="1">
      <c r="A3155" s="3"/>
      <c r="B3155" s="3"/>
      <c r="C3155" s="3"/>
      <c r="D3155" s="3"/>
    </row>
    <row r="3156" spans="1:4" ht="16.5" customHeight="1">
      <c r="A3156" s="3"/>
      <c r="B3156" s="3"/>
      <c r="C3156" s="3"/>
      <c r="D3156" s="3"/>
    </row>
    <row r="3157" spans="1:4" ht="16.5" customHeight="1">
      <c r="A3157" s="3"/>
      <c r="B3157" s="3"/>
      <c r="C3157" s="3"/>
      <c r="D3157" s="3"/>
    </row>
    <row r="3158" spans="1:4" ht="16.5" customHeight="1">
      <c r="A3158" s="3"/>
      <c r="B3158" s="3"/>
      <c r="C3158" s="3"/>
      <c r="D3158" s="3"/>
    </row>
    <row r="3159" spans="1:4" ht="16.5" customHeight="1">
      <c r="A3159" s="3"/>
      <c r="B3159" s="3"/>
      <c r="C3159" s="3"/>
      <c r="D3159" s="3"/>
    </row>
    <row r="3160" spans="1:4" ht="16.5" customHeight="1">
      <c r="A3160" s="3"/>
      <c r="B3160" s="3"/>
      <c r="C3160" s="3"/>
      <c r="D3160" s="3"/>
    </row>
    <row r="3161" spans="1:4" ht="16.5" customHeight="1">
      <c r="A3161" s="3"/>
      <c r="B3161" s="3"/>
      <c r="C3161" s="3"/>
      <c r="D3161" s="3"/>
    </row>
    <row r="3162" spans="1:4" ht="16.5" customHeight="1">
      <c r="A3162" s="3"/>
      <c r="B3162" s="3"/>
      <c r="C3162" s="3"/>
      <c r="D3162" s="3"/>
    </row>
    <row r="3163" spans="1:4" ht="16.5" customHeight="1">
      <c r="A3163" s="3"/>
      <c r="B3163" s="3"/>
      <c r="C3163" s="3"/>
      <c r="D3163" s="3"/>
    </row>
    <row r="3164" spans="1:4" ht="16.5" customHeight="1">
      <c r="A3164" s="3"/>
      <c r="B3164" s="3"/>
      <c r="C3164" s="3"/>
      <c r="D3164" s="3"/>
    </row>
    <row r="3165" spans="1:4" ht="16.5" customHeight="1">
      <c r="A3165" s="3"/>
      <c r="B3165" s="3"/>
      <c r="C3165" s="3"/>
      <c r="D3165" s="3"/>
    </row>
    <row r="3166" spans="1:4" ht="16.5" customHeight="1">
      <c r="A3166" s="3"/>
      <c r="B3166" s="3"/>
      <c r="C3166" s="3"/>
      <c r="D3166" s="3"/>
    </row>
    <row r="3167" spans="1:4" ht="16.5" customHeight="1">
      <c r="A3167" s="3"/>
      <c r="B3167" s="3"/>
      <c r="C3167" s="3"/>
      <c r="D3167" s="3"/>
    </row>
    <row r="3168" spans="1:4" ht="16.5" customHeight="1">
      <c r="A3168" s="3"/>
      <c r="B3168" s="3"/>
      <c r="C3168" s="3"/>
      <c r="D3168" s="3"/>
    </row>
    <row r="3169" spans="1:4" ht="16.5" customHeight="1">
      <c r="A3169" s="3"/>
      <c r="B3169" s="3"/>
      <c r="C3169" s="3"/>
      <c r="D3169" s="3"/>
    </row>
    <row r="3170" spans="1:4" ht="16.5" customHeight="1">
      <c r="A3170" s="3"/>
      <c r="B3170" s="3"/>
      <c r="C3170" s="3"/>
      <c r="D3170" s="3"/>
    </row>
    <row r="3171" spans="1:4" ht="16.5" customHeight="1">
      <c r="A3171" s="3"/>
      <c r="B3171" s="3"/>
      <c r="C3171" s="3"/>
      <c r="D3171" s="3"/>
    </row>
    <row r="3172" spans="1:4" ht="16.5" customHeight="1">
      <c r="A3172" s="3"/>
      <c r="B3172" s="3"/>
      <c r="C3172" s="3"/>
      <c r="D3172" s="3"/>
    </row>
    <row r="3173" spans="1:4" ht="16.5" customHeight="1">
      <c r="A3173" s="3"/>
      <c r="B3173" s="3"/>
      <c r="C3173" s="3"/>
      <c r="D3173" s="3"/>
    </row>
    <row r="3174" spans="1:4" ht="16.5" customHeight="1">
      <c r="A3174" s="3"/>
      <c r="B3174" s="3"/>
      <c r="C3174" s="3"/>
      <c r="D3174" s="3"/>
    </row>
    <row r="3175" spans="1:4" ht="16.5" customHeight="1">
      <c r="A3175" s="3"/>
      <c r="B3175" s="3"/>
      <c r="C3175" s="3"/>
      <c r="D3175" s="3"/>
    </row>
    <row r="3176" spans="1:4" ht="16.5" customHeight="1">
      <c r="A3176" s="3"/>
      <c r="B3176" s="3"/>
      <c r="C3176" s="3"/>
      <c r="D3176" s="3"/>
    </row>
    <row r="3177" spans="1:4" ht="16.5" customHeight="1">
      <c r="A3177" s="3"/>
      <c r="B3177" s="3"/>
      <c r="C3177" s="3"/>
      <c r="D3177" s="3"/>
    </row>
    <row r="3178" spans="1:4" ht="16.5" customHeight="1">
      <c r="A3178" s="3"/>
      <c r="B3178" s="3"/>
      <c r="C3178" s="3"/>
      <c r="D3178" s="3"/>
    </row>
    <row r="3179" spans="1:4" ht="16.5" customHeight="1">
      <c r="A3179" s="3"/>
      <c r="B3179" s="3"/>
      <c r="C3179" s="3"/>
      <c r="D3179" s="3"/>
    </row>
    <row r="3180" spans="1:4" ht="16.5" customHeight="1">
      <c r="A3180" s="3"/>
      <c r="B3180" s="3"/>
      <c r="C3180" s="3"/>
      <c r="D3180" s="3"/>
    </row>
    <row r="3181" spans="1:4" ht="16.5" customHeight="1">
      <c r="A3181" s="3"/>
      <c r="B3181" s="3"/>
      <c r="C3181" s="3"/>
      <c r="D3181" s="3"/>
    </row>
    <row r="3182" spans="1:4" ht="16.5" customHeight="1">
      <c r="A3182" s="3"/>
      <c r="B3182" s="3"/>
      <c r="C3182" s="3"/>
      <c r="D3182" s="3"/>
    </row>
    <row r="3183" spans="1:4" ht="16.5" customHeight="1">
      <c r="A3183" s="3"/>
      <c r="B3183" s="3"/>
      <c r="C3183" s="3"/>
      <c r="D3183" s="3"/>
    </row>
    <row r="3184" spans="1:4" ht="16.5" customHeight="1">
      <c r="A3184" s="3"/>
      <c r="B3184" s="3"/>
      <c r="C3184" s="3"/>
      <c r="D3184" s="3"/>
    </row>
    <row r="3185" spans="1:4" ht="16.5" customHeight="1">
      <c r="A3185" s="3"/>
      <c r="B3185" s="3"/>
      <c r="C3185" s="3"/>
      <c r="D3185" s="3"/>
    </row>
    <row r="3186" spans="1:4" ht="16.5" customHeight="1">
      <c r="A3186" s="3"/>
      <c r="B3186" s="3"/>
      <c r="C3186" s="3"/>
      <c r="D3186" s="3"/>
    </row>
    <row r="3187" spans="1:4" ht="16.5" customHeight="1">
      <c r="A3187" s="3"/>
      <c r="B3187" s="3"/>
      <c r="C3187" s="3"/>
      <c r="D3187" s="3"/>
    </row>
    <row r="3188" spans="1:4" ht="16.5" customHeight="1">
      <c r="A3188" s="3"/>
      <c r="B3188" s="3"/>
      <c r="C3188" s="3"/>
      <c r="D3188" s="3"/>
    </row>
    <row r="3189" spans="1:4" ht="16.5" customHeight="1">
      <c r="A3189" s="3"/>
      <c r="B3189" s="3"/>
      <c r="C3189" s="3"/>
      <c r="D3189" s="3"/>
    </row>
    <row r="3190" spans="1:4" ht="16.5" customHeight="1">
      <c r="A3190" s="3"/>
      <c r="B3190" s="3"/>
      <c r="C3190" s="3"/>
      <c r="D3190" s="3"/>
    </row>
    <row r="3191" spans="1:4" ht="16.5" customHeight="1">
      <c r="A3191" s="3"/>
      <c r="B3191" s="3"/>
      <c r="C3191" s="3"/>
      <c r="D3191" s="3"/>
    </row>
    <row r="3192" spans="1:4" ht="16.5" customHeight="1">
      <c r="A3192" s="3"/>
      <c r="B3192" s="3"/>
      <c r="C3192" s="3"/>
      <c r="D3192" s="3"/>
    </row>
    <row r="3193" spans="1:4" ht="16.5" customHeight="1">
      <c r="A3193" s="3"/>
      <c r="B3193" s="3"/>
      <c r="C3193" s="3"/>
      <c r="D3193" s="3"/>
    </row>
    <row r="3194" spans="1:4" ht="16.5" customHeight="1">
      <c r="A3194" s="3"/>
      <c r="B3194" s="3"/>
      <c r="C3194" s="3"/>
      <c r="D3194" s="3"/>
    </row>
    <row r="3195" spans="1:4" ht="16.5" customHeight="1">
      <c r="A3195" s="3"/>
      <c r="B3195" s="3"/>
      <c r="C3195" s="3"/>
      <c r="D3195" s="3"/>
    </row>
    <row r="3196" spans="1:4" ht="16.5" customHeight="1">
      <c r="A3196" s="3"/>
      <c r="B3196" s="3"/>
      <c r="C3196" s="3"/>
      <c r="D3196" s="3"/>
    </row>
    <row r="3197" spans="1:4" ht="16.5" customHeight="1">
      <c r="A3197" s="3"/>
      <c r="B3197" s="3"/>
      <c r="C3197" s="3"/>
      <c r="D3197" s="3"/>
    </row>
    <row r="3198" spans="1:4" ht="16.5" customHeight="1">
      <c r="A3198" s="3"/>
      <c r="B3198" s="3"/>
      <c r="C3198" s="3"/>
      <c r="D3198" s="3"/>
    </row>
    <row r="3199" spans="1:4" ht="16.5" customHeight="1">
      <c r="A3199" s="3"/>
      <c r="B3199" s="3"/>
      <c r="C3199" s="3"/>
      <c r="D3199" s="3"/>
    </row>
    <row r="3200" spans="1:4" ht="16.5" customHeight="1">
      <c r="A3200" s="3"/>
      <c r="B3200" s="3"/>
      <c r="C3200" s="3"/>
      <c r="D3200" s="3"/>
    </row>
    <row r="3201" spans="1:4" ht="16.5" customHeight="1">
      <c r="A3201" s="3"/>
      <c r="B3201" s="3"/>
      <c r="C3201" s="3"/>
      <c r="D3201" s="3"/>
    </row>
    <row r="3202" spans="1:4" ht="16.5" customHeight="1">
      <c r="A3202" s="3"/>
      <c r="B3202" s="3"/>
      <c r="C3202" s="3"/>
      <c r="D3202" s="3"/>
    </row>
    <row r="3203" spans="1:4" ht="16.5" customHeight="1">
      <c r="A3203" s="3"/>
      <c r="B3203" s="3"/>
      <c r="C3203" s="3"/>
      <c r="D3203" s="3"/>
    </row>
    <row r="3204" spans="1:4" ht="16.5" customHeight="1">
      <c r="A3204" s="3"/>
      <c r="B3204" s="3"/>
      <c r="C3204" s="3"/>
      <c r="D3204" s="3"/>
    </row>
    <row r="3205" spans="1:4" ht="16.5" customHeight="1">
      <c r="A3205" s="3"/>
      <c r="B3205" s="3"/>
      <c r="C3205" s="3"/>
      <c r="D3205" s="3"/>
    </row>
    <row r="3206" spans="1:4" ht="16.5" customHeight="1">
      <c r="A3206" s="3"/>
      <c r="B3206" s="3"/>
      <c r="C3206" s="3"/>
      <c r="D3206" s="3"/>
    </row>
    <row r="3207" spans="1:4" ht="16.5" customHeight="1">
      <c r="A3207" s="3"/>
      <c r="B3207" s="3"/>
      <c r="C3207" s="3"/>
      <c r="D3207" s="3"/>
    </row>
    <row r="3208" spans="1:4" ht="16.5" customHeight="1">
      <c r="A3208" s="3"/>
      <c r="B3208" s="3"/>
      <c r="C3208" s="3"/>
      <c r="D3208" s="3"/>
    </row>
    <row r="3209" spans="1:4" ht="16.5" customHeight="1">
      <c r="A3209" s="3"/>
      <c r="B3209" s="3"/>
      <c r="C3209" s="3"/>
      <c r="D3209" s="3"/>
    </row>
    <row r="3210" spans="1:4" ht="16.5" customHeight="1">
      <c r="A3210" s="3"/>
      <c r="B3210" s="3"/>
      <c r="C3210" s="3"/>
      <c r="D3210" s="3"/>
    </row>
    <row r="3211" spans="1:4" ht="16.5" customHeight="1">
      <c r="A3211" s="3"/>
      <c r="B3211" s="3"/>
      <c r="C3211" s="3"/>
      <c r="D3211" s="3"/>
    </row>
    <row r="3212" spans="1:4" ht="16.5" customHeight="1">
      <c r="A3212" s="3"/>
      <c r="B3212" s="3"/>
      <c r="C3212" s="3"/>
      <c r="D3212" s="3"/>
    </row>
    <row r="3213" spans="1:4" ht="16.5" customHeight="1">
      <c r="A3213" s="3"/>
      <c r="B3213" s="3"/>
      <c r="C3213" s="3"/>
      <c r="D3213" s="3"/>
    </row>
    <row r="3214" spans="1:4" ht="16.5" customHeight="1">
      <c r="A3214" s="3"/>
      <c r="B3214" s="3"/>
      <c r="C3214" s="3"/>
      <c r="D3214" s="3"/>
    </row>
    <row r="3215" spans="1:4" ht="16.5" customHeight="1">
      <c r="A3215" s="3"/>
      <c r="B3215" s="3"/>
      <c r="C3215" s="3"/>
      <c r="D3215" s="3"/>
    </row>
    <row r="3216" spans="1:4" ht="16.5" customHeight="1">
      <c r="A3216" s="3"/>
      <c r="B3216" s="3"/>
      <c r="C3216" s="3"/>
      <c r="D3216" s="3"/>
    </row>
    <row r="3217" spans="1:4" ht="16.5" customHeight="1">
      <c r="A3217" s="3"/>
      <c r="B3217" s="3"/>
      <c r="C3217" s="3"/>
      <c r="D3217" s="3"/>
    </row>
    <row r="3218" spans="1:4" ht="16.5" customHeight="1">
      <c r="A3218" s="3"/>
      <c r="B3218" s="3"/>
      <c r="C3218" s="3"/>
      <c r="D3218" s="3"/>
    </row>
    <row r="3219" spans="1:4" ht="16.5" customHeight="1">
      <c r="A3219" s="3"/>
      <c r="B3219" s="3"/>
      <c r="C3219" s="3"/>
      <c r="D3219" s="3"/>
    </row>
    <row r="3220" spans="1:4" ht="16.5" customHeight="1">
      <c r="A3220" s="3"/>
      <c r="B3220" s="3"/>
      <c r="C3220" s="3"/>
      <c r="D3220" s="3"/>
    </row>
    <row r="3221" spans="1:4" ht="16.5" customHeight="1">
      <c r="A3221" s="3"/>
      <c r="B3221" s="3"/>
      <c r="C3221" s="3"/>
      <c r="D3221" s="3"/>
    </row>
    <row r="3222" spans="1:4" ht="16.5" customHeight="1">
      <c r="A3222" s="3"/>
      <c r="B3222" s="3"/>
      <c r="C3222" s="3"/>
      <c r="D3222" s="3"/>
    </row>
    <row r="3223" spans="1:4" ht="16.5" customHeight="1">
      <c r="A3223" s="3"/>
      <c r="B3223" s="3"/>
      <c r="C3223" s="3"/>
      <c r="D3223" s="3"/>
    </row>
    <row r="3224" spans="1:4" ht="16.5" customHeight="1">
      <c r="A3224" s="3"/>
      <c r="B3224" s="3"/>
      <c r="C3224" s="3"/>
      <c r="D3224" s="3"/>
    </row>
    <row r="3225" spans="1:4" ht="16.5" customHeight="1">
      <c r="A3225" s="3"/>
      <c r="B3225" s="3"/>
      <c r="C3225" s="3"/>
      <c r="D3225" s="3"/>
    </row>
    <row r="3226" spans="1:4" ht="16.5" customHeight="1">
      <c r="A3226" s="3"/>
      <c r="B3226" s="3"/>
      <c r="C3226" s="3"/>
      <c r="D3226" s="3"/>
    </row>
    <row r="3227" spans="1:4" ht="16.5" customHeight="1">
      <c r="A3227" s="3"/>
      <c r="B3227" s="3"/>
      <c r="C3227" s="3"/>
      <c r="D3227" s="3"/>
    </row>
    <row r="3228" spans="1:4" ht="16.5" customHeight="1">
      <c r="A3228" s="3"/>
      <c r="B3228" s="3"/>
      <c r="C3228" s="3"/>
      <c r="D3228" s="3"/>
    </row>
    <row r="3229" spans="1:4" ht="16.5" customHeight="1">
      <c r="A3229" s="3"/>
      <c r="B3229" s="3"/>
      <c r="C3229" s="3"/>
      <c r="D3229" s="3"/>
    </row>
    <row r="3230" spans="1:4" ht="16.5" customHeight="1">
      <c r="A3230" s="3"/>
      <c r="B3230" s="3"/>
      <c r="C3230" s="3"/>
      <c r="D3230" s="3"/>
    </row>
    <row r="3231" spans="1:4" ht="16.5" customHeight="1">
      <c r="A3231" s="3"/>
      <c r="B3231" s="3"/>
      <c r="C3231" s="3"/>
      <c r="D3231" s="3"/>
    </row>
    <row r="3232" spans="1:4" ht="16.5" customHeight="1">
      <c r="A3232" s="3"/>
      <c r="B3232" s="3"/>
      <c r="C3232" s="3"/>
      <c r="D3232" s="3"/>
    </row>
    <row r="3233" spans="1:4" ht="16.5" customHeight="1">
      <c r="A3233" s="3"/>
      <c r="B3233" s="3"/>
      <c r="C3233" s="3"/>
      <c r="D3233" s="3"/>
    </row>
    <row r="3234" spans="1:4" ht="16.5" customHeight="1">
      <c r="A3234" s="3"/>
      <c r="B3234" s="3"/>
      <c r="C3234" s="3"/>
      <c r="D3234" s="3"/>
    </row>
    <row r="3235" spans="1:4" ht="16.5" customHeight="1">
      <c r="A3235" s="3"/>
      <c r="B3235" s="3"/>
      <c r="C3235" s="3"/>
      <c r="D3235" s="3"/>
    </row>
    <row r="3236" spans="1:4" ht="16.5" customHeight="1">
      <c r="A3236" s="3"/>
      <c r="B3236" s="3"/>
      <c r="C3236" s="3"/>
      <c r="D3236" s="3"/>
    </row>
    <row r="3237" spans="1:4" ht="16.5" customHeight="1">
      <c r="A3237" s="3"/>
      <c r="B3237" s="3"/>
      <c r="C3237" s="3"/>
      <c r="D3237" s="3"/>
    </row>
    <row r="3238" spans="1:4" ht="16.5" customHeight="1">
      <c r="A3238" s="3"/>
      <c r="B3238" s="3"/>
      <c r="C3238" s="3"/>
      <c r="D3238" s="3"/>
    </row>
    <row r="3239" spans="1:4" ht="16.5" customHeight="1">
      <c r="A3239" s="3"/>
      <c r="B3239" s="3"/>
      <c r="C3239" s="3"/>
      <c r="D3239" s="3"/>
    </row>
    <row r="3240" spans="1:4" ht="16.5" customHeight="1">
      <c r="A3240" s="3"/>
      <c r="B3240" s="3"/>
      <c r="C3240" s="3"/>
      <c r="D3240" s="3"/>
    </row>
    <row r="3241" spans="1:4" ht="16.5" customHeight="1">
      <c r="A3241" s="3"/>
      <c r="B3241" s="3"/>
      <c r="C3241" s="3"/>
      <c r="D3241" s="3"/>
    </row>
    <row r="3242" spans="1:4" ht="16.5" customHeight="1">
      <c r="A3242" s="3"/>
      <c r="B3242" s="3"/>
      <c r="C3242" s="3"/>
      <c r="D3242" s="3"/>
    </row>
    <row r="3243" spans="1:4" ht="16.5" customHeight="1">
      <c r="A3243" s="3"/>
      <c r="B3243" s="3"/>
      <c r="C3243" s="3"/>
      <c r="D3243" s="3"/>
    </row>
    <row r="3244" spans="1:4" ht="16.5" customHeight="1">
      <c r="A3244" s="3"/>
      <c r="B3244" s="3"/>
      <c r="C3244" s="3"/>
      <c r="D3244" s="3"/>
    </row>
    <row r="3245" spans="1:4" ht="16.5" customHeight="1">
      <c r="A3245" s="3"/>
      <c r="B3245" s="3"/>
      <c r="C3245" s="3"/>
      <c r="D3245" s="3"/>
    </row>
    <row r="3246" spans="1:4" ht="16.5" customHeight="1">
      <c r="A3246" s="3"/>
      <c r="B3246" s="3"/>
      <c r="C3246" s="3"/>
      <c r="D3246" s="3"/>
    </row>
    <row r="3247" spans="1:4" ht="16.5" customHeight="1">
      <c r="A3247" s="3"/>
      <c r="B3247" s="3"/>
      <c r="C3247" s="3"/>
      <c r="D3247" s="3"/>
    </row>
    <row r="3248" spans="1:4" ht="16.5" customHeight="1">
      <c r="A3248" s="3"/>
      <c r="B3248" s="3"/>
      <c r="C3248" s="3"/>
      <c r="D3248" s="3"/>
    </row>
    <row r="3249" spans="1:4" ht="16.5" customHeight="1">
      <c r="A3249" s="3"/>
      <c r="B3249" s="3"/>
      <c r="C3249" s="3"/>
      <c r="D3249" s="3"/>
    </row>
    <row r="3250" spans="1:4" ht="16.5" customHeight="1">
      <c r="A3250" s="3"/>
      <c r="B3250" s="3"/>
      <c r="C3250" s="3"/>
      <c r="D3250" s="3"/>
    </row>
    <row r="3251" spans="1:4" ht="16.5" customHeight="1">
      <c r="A3251" s="3"/>
      <c r="B3251" s="3"/>
      <c r="C3251" s="3"/>
      <c r="D3251" s="3"/>
    </row>
    <row r="3252" spans="1:4" ht="16.5" customHeight="1">
      <c r="A3252" s="3"/>
      <c r="B3252" s="3"/>
      <c r="C3252" s="3"/>
      <c r="D3252" s="3"/>
    </row>
    <row r="3253" spans="1:4" ht="16.5" customHeight="1">
      <c r="A3253" s="3"/>
      <c r="B3253" s="3"/>
      <c r="C3253" s="3"/>
      <c r="D3253" s="3"/>
    </row>
    <row r="3254" spans="1:4" ht="16.5" customHeight="1">
      <c r="A3254" s="3"/>
      <c r="B3254" s="3"/>
      <c r="C3254" s="3"/>
      <c r="D3254" s="3"/>
    </row>
    <row r="3255" spans="1:4" ht="16.5" customHeight="1">
      <c r="A3255" s="3"/>
      <c r="B3255" s="3"/>
      <c r="C3255" s="3"/>
      <c r="D3255" s="3"/>
    </row>
    <row r="3256" spans="1:4" ht="16.5" customHeight="1">
      <c r="A3256" s="3"/>
      <c r="B3256" s="3"/>
      <c r="C3256" s="3"/>
      <c r="D3256" s="3"/>
    </row>
    <row r="3257" spans="1:4" ht="16.5" customHeight="1">
      <c r="A3257" s="3"/>
      <c r="B3257" s="3"/>
      <c r="C3257" s="3"/>
      <c r="D3257" s="3"/>
    </row>
    <row r="3258" spans="1:4" ht="16.5" customHeight="1">
      <c r="A3258" s="3"/>
      <c r="B3258" s="3"/>
      <c r="C3258" s="3"/>
      <c r="D3258" s="3"/>
    </row>
    <row r="3259" spans="1:4" ht="16.5" customHeight="1">
      <c r="A3259" s="3"/>
      <c r="B3259" s="3"/>
      <c r="C3259" s="3"/>
      <c r="D3259" s="3"/>
    </row>
    <row r="3260" spans="1:4" ht="16.5" customHeight="1">
      <c r="A3260" s="3"/>
      <c r="B3260" s="3"/>
      <c r="C3260" s="3"/>
      <c r="D3260" s="3"/>
    </row>
    <row r="3261" spans="1:4" ht="16.5" customHeight="1">
      <c r="A3261" s="3"/>
      <c r="B3261" s="3"/>
      <c r="C3261" s="3"/>
      <c r="D3261" s="3"/>
    </row>
    <row r="3262" spans="1:4" ht="16.5" customHeight="1">
      <c r="A3262" s="3"/>
      <c r="B3262" s="3"/>
      <c r="C3262" s="3"/>
      <c r="D3262" s="3"/>
    </row>
    <row r="3263" spans="1:4" ht="16.5" customHeight="1">
      <c r="A3263" s="3"/>
      <c r="B3263" s="3"/>
      <c r="C3263" s="3"/>
      <c r="D3263" s="3"/>
    </row>
    <row r="3264" spans="1:4" ht="16.5" customHeight="1">
      <c r="A3264" s="3"/>
      <c r="B3264" s="3"/>
      <c r="C3264" s="3"/>
      <c r="D3264" s="3"/>
    </row>
    <row r="3265" spans="1:4" ht="16.5" customHeight="1">
      <c r="A3265" s="3"/>
      <c r="B3265" s="3"/>
      <c r="C3265" s="3"/>
      <c r="D3265" s="3"/>
    </row>
    <row r="3266" spans="1:4" ht="16.5" customHeight="1">
      <c r="A3266" s="3"/>
      <c r="B3266" s="3"/>
      <c r="C3266" s="3"/>
      <c r="D3266" s="3"/>
    </row>
    <row r="3267" spans="1:4" ht="16.5" customHeight="1">
      <c r="A3267" s="3"/>
      <c r="B3267" s="3"/>
      <c r="C3267" s="3"/>
      <c r="D3267" s="3"/>
    </row>
    <row r="3268" spans="1:4" ht="16.5" customHeight="1">
      <c r="A3268" s="3"/>
      <c r="B3268" s="3"/>
      <c r="C3268" s="3"/>
      <c r="D3268" s="3"/>
    </row>
    <row r="3269" spans="1:4" ht="16.5" customHeight="1">
      <c r="A3269" s="3"/>
      <c r="B3269" s="3"/>
      <c r="C3269" s="3"/>
      <c r="D3269" s="3"/>
    </row>
    <row r="3270" spans="1:4" ht="16.5" customHeight="1">
      <c r="A3270" s="3"/>
      <c r="B3270" s="3"/>
      <c r="C3270" s="3"/>
      <c r="D3270" s="3"/>
    </row>
    <row r="3271" spans="1:4" ht="16.5" customHeight="1">
      <c r="A3271" s="3"/>
      <c r="B3271" s="3"/>
      <c r="C3271" s="3"/>
      <c r="D3271" s="3"/>
    </row>
    <row r="3272" spans="1:4" ht="16.5" customHeight="1">
      <c r="A3272" s="3"/>
      <c r="B3272" s="3"/>
      <c r="C3272" s="3"/>
      <c r="D3272" s="3"/>
    </row>
    <row r="3273" spans="1:4" ht="16.5" customHeight="1">
      <c r="A3273" s="3"/>
      <c r="B3273" s="3"/>
      <c r="C3273" s="3"/>
      <c r="D3273" s="3"/>
    </row>
    <row r="3274" spans="1:4" ht="16.5" customHeight="1">
      <c r="A3274" s="3"/>
      <c r="B3274" s="3"/>
      <c r="C3274" s="3"/>
      <c r="D3274" s="3"/>
    </row>
    <row r="3275" spans="1:4" ht="16.5" customHeight="1">
      <c r="A3275" s="3"/>
      <c r="B3275" s="3"/>
      <c r="C3275" s="3"/>
      <c r="D3275" s="3"/>
    </row>
    <row r="3276" spans="1:4" ht="16.5" customHeight="1">
      <c r="A3276" s="3"/>
      <c r="B3276" s="3"/>
      <c r="C3276" s="3"/>
      <c r="D3276" s="3"/>
    </row>
    <row r="3277" spans="1:4" ht="16.5" customHeight="1">
      <c r="A3277" s="3"/>
      <c r="B3277" s="3"/>
      <c r="C3277" s="3"/>
      <c r="D3277" s="3"/>
    </row>
    <row r="3278" spans="1:4" ht="16.5" customHeight="1">
      <c r="A3278" s="3"/>
      <c r="B3278" s="3"/>
      <c r="C3278" s="3"/>
      <c r="D3278" s="3"/>
    </row>
    <row r="3279" spans="1:4" ht="16.5" customHeight="1">
      <c r="A3279" s="3"/>
      <c r="B3279" s="3"/>
      <c r="C3279" s="3"/>
      <c r="D3279" s="3"/>
    </row>
    <row r="3280" spans="1:4" ht="16.5" customHeight="1">
      <c r="A3280" s="3"/>
      <c r="B3280" s="3"/>
      <c r="C3280" s="3"/>
      <c r="D3280" s="3"/>
    </row>
    <row r="3281" spans="1:4" ht="16.5" customHeight="1">
      <c r="A3281" s="3"/>
      <c r="B3281" s="3"/>
      <c r="C3281" s="3"/>
      <c r="D3281" s="3"/>
    </row>
    <row r="3282" spans="1:4" ht="16.5" customHeight="1">
      <c r="A3282" s="3"/>
      <c r="B3282" s="3"/>
      <c r="C3282" s="3"/>
      <c r="D3282" s="3"/>
    </row>
    <row r="3283" spans="1:4" ht="16.5" customHeight="1">
      <c r="A3283" s="3"/>
      <c r="B3283" s="3"/>
      <c r="C3283" s="3"/>
      <c r="D3283" s="3"/>
    </row>
    <row r="3284" spans="1:4" ht="16.5" customHeight="1">
      <c r="A3284" s="3"/>
      <c r="B3284" s="3"/>
      <c r="C3284" s="3"/>
      <c r="D3284" s="3"/>
    </row>
    <row r="3285" spans="1:4" ht="16.5" customHeight="1">
      <c r="A3285" s="3"/>
      <c r="B3285" s="3"/>
      <c r="C3285" s="3"/>
      <c r="D3285" s="3"/>
    </row>
    <row r="3286" spans="1:4" ht="16.5" customHeight="1">
      <c r="A3286" s="3"/>
      <c r="B3286" s="3"/>
      <c r="C3286" s="3"/>
      <c r="D3286" s="3"/>
    </row>
    <row r="3287" spans="1:4" ht="16.5" customHeight="1">
      <c r="A3287" s="3"/>
      <c r="B3287" s="3"/>
      <c r="C3287" s="3"/>
      <c r="D3287" s="3"/>
    </row>
    <row r="3288" spans="1:4" ht="16.5" customHeight="1">
      <c r="A3288" s="3"/>
      <c r="B3288" s="3"/>
      <c r="C3288" s="3"/>
      <c r="D3288" s="3"/>
    </row>
    <row r="3289" spans="1:4" ht="16.5" customHeight="1">
      <c r="A3289" s="3"/>
      <c r="B3289" s="3"/>
      <c r="C3289" s="3"/>
      <c r="D3289" s="3"/>
    </row>
    <row r="3290" spans="1:4" ht="16.5" customHeight="1">
      <c r="A3290" s="3"/>
      <c r="B3290" s="3"/>
      <c r="C3290" s="3"/>
      <c r="D3290" s="3"/>
    </row>
    <row r="3291" spans="1:4" ht="16.5" customHeight="1">
      <c r="A3291" s="3"/>
      <c r="B3291" s="3"/>
      <c r="C3291" s="3"/>
      <c r="D3291" s="3"/>
    </row>
    <row r="3292" spans="1:4" ht="16.5" customHeight="1">
      <c r="A3292" s="3"/>
      <c r="B3292" s="3"/>
      <c r="C3292" s="3"/>
      <c r="D3292" s="3"/>
    </row>
    <row r="3293" spans="1:4" ht="16.5" customHeight="1">
      <c r="A3293" s="3"/>
      <c r="B3293" s="3"/>
      <c r="C3293" s="3"/>
      <c r="D3293" s="3"/>
    </row>
    <row r="3294" spans="1:4" ht="16.5" customHeight="1">
      <c r="A3294" s="3"/>
      <c r="B3294" s="3"/>
      <c r="C3294" s="3"/>
      <c r="D3294" s="3"/>
    </row>
    <row r="3295" spans="1:4" ht="16.5" customHeight="1">
      <c r="A3295" s="3"/>
      <c r="B3295" s="3"/>
      <c r="C3295" s="3"/>
      <c r="D3295" s="3"/>
    </row>
    <row r="3296" spans="1:4" ht="16.5" customHeight="1">
      <c r="A3296" s="3"/>
      <c r="B3296" s="3"/>
      <c r="C3296" s="3"/>
      <c r="D3296" s="3"/>
    </row>
    <row r="3297" spans="1:4" ht="16.5" customHeight="1">
      <c r="A3297" s="3"/>
      <c r="B3297" s="3"/>
      <c r="C3297" s="3"/>
      <c r="D3297" s="3"/>
    </row>
    <row r="3298" spans="1:4" ht="16.5" customHeight="1">
      <c r="A3298" s="3"/>
      <c r="B3298" s="3"/>
      <c r="C3298" s="3"/>
      <c r="D3298" s="3"/>
    </row>
    <row r="3299" spans="1:4" ht="16.5" customHeight="1">
      <c r="A3299" s="3"/>
      <c r="B3299" s="3"/>
      <c r="C3299" s="3"/>
      <c r="D3299" s="3"/>
    </row>
    <row r="3300" spans="1:4" ht="16.5" customHeight="1">
      <c r="A3300" s="3"/>
      <c r="B3300" s="3"/>
      <c r="C3300" s="3"/>
      <c r="D3300" s="3"/>
    </row>
    <row r="3301" spans="1:4" ht="16.5" customHeight="1">
      <c r="A3301" s="3"/>
      <c r="B3301" s="3"/>
      <c r="C3301" s="3"/>
      <c r="D3301" s="3"/>
    </row>
    <row r="3302" spans="1:4" ht="16.5" customHeight="1">
      <c r="A3302" s="3"/>
      <c r="B3302" s="3"/>
      <c r="C3302" s="3"/>
      <c r="D3302" s="3"/>
    </row>
    <row r="3303" spans="1:4" ht="16.5" customHeight="1">
      <c r="A3303" s="3"/>
      <c r="B3303" s="3"/>
      <c r="C3303" s="3"/>
      <c r="D3303" s="3"/>
    </row>
    <row r="3304" spans="1:4" ht="16.5" customHeight="1">
      <c r="A3304" s="3"/>
      <c r="B3304" s="3"/>
      <c r="C3304" s="3"/>
      <c r="D3304" s="3"/>
    </row>
    <row r="3305" spans="1:4" ht="16.5" customHeight="1">
      <c r="A3305" s="3"/>
      <c r="B3305" s="3"/>
      <c r="C3305" s="3"/>
      <c r="D3305" s="3"/>
    </row>
    <row r="3306" spans="1:4" ht="16.5" customHeight="1">
      <c r="A3306" s="3"/>
      <c r="B3306" s="3"/>
      <c r="C3306" s="3"/>
      <c r="D3306" s="3"/>
    </row>
    <row r="3307" spans="1:4" ht="16.5" customHeight="1">
      <c r="A3307" s="3"/>
      <c r="B3307" s="3"/>
      <c r="C3307" s="3"/>
      <c r="D3307" s="3"/>
    </row>
    <row r="3308" spans="1:4" ht="16.5" customHeight="1">
      <c r="A3308" s="3"/>
      <c r="B3308" s="3"/>
      <c r="C3308" s="3"/>
      <c r="D3308" s="3"/>
    </row>
    <row r="3309" spans="1:4" ht="16.5" customHeight="1">
      <c r="A3309" s="3"/>
      <c r="B3309" s="3"/>
      <c r="C3309" s="3"/>
      <c r="D3309" s="3"/>
    </row>
    <row r="3310" spans="1:4" ht="16.5" customHeight="1">
      <c r="A3310" s="3"/>
      <c r="B3310" s="3"/>
      <c r="C3310" s="3"/>
      <c r="D3310" s="3"/>
    </row>
    <row r="3311" spans="1:4" ht="16.5" customHeight="1">
      <c r="A3311" s="3"/>
      <c r="B3311" s="3"/>
      <c r="C3311" s="3"/>
      <c r="D3311" s="3"/>
    </row>
    <row r="3312" spans="1:4" ht="16.5" customHeight="1">
      <c r="A3312" s="3"/>
      <c r="B3312" s="3"/>
      <c r="C3312" s="3"/>
      <c r="D3312" s="3"/>
    </row>
    <row r="3313" spans="1:4" ht="16.5" customHeight="1">
      <c r="A3313" s="3"/>
      <c r="B3313" s="3"/>
      <c r="C3313" s="3"/>
      <c r="D3313" s="3"/>
    </row>
    <row r="3314" spans="1:4" ht="16.5" customHeight="1">
      <c r="A3314" s="3"/>
      <c r="B3314" s="3"/>
      <c r="C3314" s="3"/>
      <c r="D3314" s="3"/>
    </row>
    <row r="3315" spans="1:4" ht="16.5" customHeight="1">
      <c r="A3315" s="3"/>
      <c r="B3315" s="3"/>
      <c r="C3315" s="3"/>
      <c r="D3315" s="3"/>
    </row>
    <row r="3316" spans="1:4" ht="16.5" customHeight="1">
      <c r="A3316" s="3"/>
      <c r="B3316" s="3"/>
      <c r="C3316" s="3"/>
      <c r="D3316" s="3"/>
    </row>
    <row r="3317" spans="1:4" ht="16.5" customHeight="1">
      <c r="A3317" s="3"/>
      <c r="B3317" s="3"/>
      <c r="C3317" s="3"/>
      <c r="D3317" s="3"/>
    </row>
    <row r="3318" spans="1:4" ht="16.5" customHeight="1">
      <c r="A3318" s="3"/>
      <c r="B3318" s="3"/>
      <c r="C3318" s="3"/>
      <c r="D3318" s="3"/>
    </row>
    <row r="3319" spans="1:4" ht="16.5" customHeight="1">
      <c r="A3319" s="3"/>
      <c r="B3319" s="3"/>
      <c r="C3319" s="3"/>
      <c r="D3319" s="3"/>
    </row>
    <row r="3320" spans="1:4" ht="16.5" customHeight="1">
      <c r="A3320" s="3"/>
      <c r="B3320" s="3"/>
      <c r="C3320" s="3"/>
      <c r="D3320" s="3"/>
    </row>
    <row r="3321" spans="1:4" ht="16.5" customHeight="1">
      <c r="A3321" s="3"/>
      <c r="B3321" s="3"/>
      <c r="C3321" s="3"/>
      <c r="D3321" s="3"/>
    </row>
    <row r="3322" spans="1:4" ht="16.5" customHeight="1">
      <c r="A3322" s="3"/>
      <c r="B3322" s="3"/>
      <c r="C3322" s="3"/>
      <c r="D3322" s="3"/>
    </row>
    <row r="3323" spans="1:4" ht="16.5" customHeight="1">
      <c r="A3323" s="3"/>
      <c r="B3323" s="3"/>
      <c r="C3323" s="3"/>
      <c r="D3323" s="3"/>
    </row>
    <row r="3324" spans="1:4" ht="16.5" customHeight="1">
      <c r="A3324" s="3"/>
      <c r="B3324" s="3"/>
      <c r="C3324" s="3"/>
      <c r="D3324" s="3"/>
    </row>
    <row r="3325" spans="1:4" ht="16.5" customHeight="1">
      <c r="A3325" s="3"/>
      <c r="B3325" s="3"/>
      <c r="C3325" s="3"/>
      <c r="D3325" s="3"/>
    </row>
    <row r="3326" spans="1:4" ht="16.5" customHeight="1">
      <c r="A3326" s="3"/>
      <c r="B3326" s="3"/>
      <c r="C3326" s="3"/>
      <c r="D3326" s="3"/>
    </row>
    <row r="3327" spans="1:4" ht="16.5" customHeight="1">
      <c r="A3327" s="3"/>
      <c r="B3327" s="3"/>
      <c r="C3327" s="3"/>
      <c r="D3327" s="3"/>
    </row>
    <row r="3328" spans="1:4" ht="16.5" customHeight="1">
      <c r="A3328" s="3"/>
      <c r="B3328" s="3"/>
      <c r="C3328" s="3"/>
      <c r="D3328" s="3"/>
    </row>
    <row r="3329" spans="1:4" ht="16.5" customHeight="1">
      <c r="A3329" s="3"/>
      <c r="B3329" s="3"/>
      <c r="C3329" s="3"/>
      <c r="D3329" s="3"/>
    </row>
    <row r="3330" spans="1:4" ht="16.5" customHeight="1">
      <c r="A3330" s="3"/>
      <c r="B3330" s="3"/>
      <c r="C3330" s="3"/>
      <c r="D3330" s="3"/>
    </row>
    <row r="3331" spans="1:4" ht="16.5" customHeight="1">
      <c r="A3331" s="3"/>
      <c r="B3331" s="3"/>
      <c r="C3331" s="3"/>
      <c r="D3331" s="3"/>
    </row>
    <row r="3332" spans="1:4" ht="16.5" customHeight="1">
      <c r="A3332" s="3"/>
      <c r="B3332" s="3"/>
      <c r="C3332" s="3"/>
      <c r="D3332" s="3"/>
    </row>
    <row r="3333" spans="1:4" ht="16.5" customHeight="1">
      <c r="A3333" s="3"/>
      <c r="B3333" s="3"/>
      <c r="C3333" s="3"/>
      <c r="D3333" s="3"/>
    </row>
    <row r="3334" spans="1:4" ht="16.5" customHeight="1">
      <c r="A3334" s="3"/>
      <c r="B3334" s="3"/>
      <c r="C3334" s="3"/>
      <c r="D3334" s="3"/>
    </row>
    <row r="3335" spans="1:4" ht="16.5" customHeight="1">
      <c r="A3335" s="3"/>
      <c r="B3335" s="3"/>
      <c r="C3335" s="3"/>
      <c r="D3335" s="3"/>
    </row>
    <row r="3336" spans="1:4" ht="16.5" customHeight="1">
      <c r="A3336" s="3"/>
      <c r="B3336" s="3"/>
      <c r="C3336" s="3"/>
      <c r="D3336" s="3"/>
    </row>
    <row r="3337" spans="1:4" ht="16.5" customHeight="1">
      <c r="A3337" s="3"/>
      <c r="B3337" s="3"/>
      <c r="C3337" s="3"/>
      <c r="D3337" s="3"/>
    </row>
    <row r="3338" spans="1:4" ht="16.5" customHeight="1">
      <c r="A3338" s="3"/>
      <c r="B3338" s="3"/>
      <c r="C3338" s="3"/>
      <c r="D3338" s="3"/>
    </row>
    <row r="3339" spans="1:4" ht="16.5" customHeight="1">
      <c r="A3339" s="3"/>
      <c r="B3339" s="3"/>
      <c r="C3339" s="3"/>
      <c r="D3339" s="3"/>
    </row>
    <row r="3340" spans="1:4" ht="16.5" customHeight="1">
      <c r="A3340" s="3"/>
      <c r="B3340" s="3"/>
      <c r="C3340" s="3"/>
      <c r="D3340" s="3"/>
    </row>
    <row r="3341" spans="1:4" ht="16.5" customHeight="1">
      <c r="A3341" s="3"/>
      <c r="B3341" s="3"/>
      <c r="C3341" s="3"/>
      <c r="D3341" s="3"/>
    </row>
    <row r="3342" spans="1:4" ht="16.5" customHeight="1">
      <c r="A3342" s="3"/>
      <c r="B3342" s="3"/>
      <c r="C3342" s="3"/>
      <c r="D3342" s="3"/>
    </row>
    <row r="3343" spans="1:4" ht="16.5" customHeight="1">
      <c r="A3343" s="3"/>
      <c r="B3343" s="3"/>
      <c r="C3343" s="3"/>
      <c r="D3343" s="3"/>
    </row>
    <row r="3344" spans="1:4" ht="16.5" customHeight="1">
      <c r="A3344" s="3"/>
      <c r="B3344" s="3"/>
      <c r="C3344" s="3"/>
      <c r="D3344" s="3"/>
    </row>
    <row r="3345" spans="1:4" ht="16.5" customHeight="1">
      <c r="A3345" s="3"/>
      <c r="B3345" s="3"/>
      <c r="C3345" s="3"/>
      <c r="D3345" s="3"/>
    </row>
    <row r="3346" spans="1:4" ht="16.5" customHeight="1">
      <c r="A3346" s="3"/>
      <c r="B3346" s="3"/>
      <c r="C3346" s="3"/>
      <c r="D3346" s="3"/>
    </row>
    <row r="3347" spans="1:4" ht="16.5" customHeight="1">
      <c r="A3347" s="3"/>
      <c r="B3347" s="3"/>
      <c r="C3347" s="3"/>
      <c r="D3347" s="3"/>
    </row>
    <row r="3348" spans="1:4" ht="16.5" customHeight="1">
      <c r="A3348" s="3"/>
      <c r="B3348" s="3"/>
      <c r="C3348" s="3"/>
      <c r="D3348" s="3"/>
    </row>
    <row r="3349" spans="1:4" ht="16.5" customHeight="1">
      <c r="A3349" s="3"/>
      <c r="B3349" s="3"/>
      <c r="C3349" s="3"/>
      <c r="D3349" s="3"/>
    </row>
    <row r="3350" spans="1:4" ht="16.5" customHeight="1">
      <c r="A3350" s="3"/>
      <c r="B3350" s="3"/>
      <c r="C3350" s="3"/>
      <c r="D3350" s="3"/>
    </row>
    <row r="3351" spans="1:4" ht="16.5" customHeight="1">
      <c r="A3351" s="3"/>
      <c r="B3351" s="3"/>
      <c r="C3351" s="3"/>
      <c r="D3351" s="3"/>
    </row>
    <row r="3352" spans="1:4" ht="16.5" customHeight="1">
      <c r="A3352" s="3"/>
      <c r="B3352" s="3"/>
      <c r="C3352" s="3"/>
      <c r="D3352" s="3"/>
    </row>
    <row r="3353" spans="1:4" ht="16.5" customHeight="1">
      <c r="A3353" s="3"/>
      <c r="B3353" s="3"/>
      <c r="C3353" s="3"/>
      <c r="D3353" s="3"/>
    </row>
    <row r="3354" spans="1:4" ht="16.5" customHeight="1">
      <c r="A3354" s="3"/>
      <c r="B3354" s="3"/>
      <c r="C3354" s="3"/>
      <c r="D3354" s="3"/>
    </row>
    <row r="3355" spans="1:4" ht="16.5" customHeight="1">
      <c r="A3355" s="3"/>
      <c r="B3355" s="3"/>
      <c r="C3355" s="3"/>
      <c r="D3355" s="3"/>
    </row>
    <row r="3356" spans="1:4" ht="16.5" customHeight="1">
      <c r="A3356" s="3"/>
      <c r="B3356" s="3"/>
      <c r="C3356" s="3"/>
      <c r="D3356" s="3"/>
    </row>
    <row r="3357" spans="1:4" ht="16.5" customHeight="1">
      <c r="A3357" s="3"/>
      <c r="B3357" s="3"/>
      <c r="C3357" s="3"/>
      <c r="D3357" s="3"/>
    </row>
    <row r="3358" spans="1:4" ht="16.5" customHeight="1">
      <c r="A3358" s="3"/>
      <c r="B3358" s="3"/>
      <c r="C3358" s="3"/>
      <c r="D3358" s="3"/>
    </row>
    <row r="3359" spans="1:4" ht="16.5" customHeight="1">
      <c r="A3359" s="3"/>
      <c r="B3359" s="3"/>
      <c r="C3359" s="3"/>
      <c r="D3359" s="3"/>
    </row>
    <row r="3360" spans="1:4" ht="16.5" customHeight="1">
      <c r="A3360" s="3"/>
      <c r="B3360" s="3"/>
      <c r="C3360" s="3"/>
      <c r="D3360" s="3"/>
    </row>
    <row r="3361" spans="1:4" ht="16.5" customHeight="1">
      <c r="A3361" s="3"/>
      <c r="B3361" s="3"/>
      <c r="C3361" s="3"/>
      <c r="D3361" s="3"/>
    </row>
    <row r="3362" spans="1:4" ht="16.5" customHeight="1">
      <c r="A3362" s="3"/>
      <c r="B3362" s="3"/>
      <c r="C3362" s="3"/>
      <c r="D3362" s="3"/>
    </row>
    <row r="3363" spans="1:4" ht="16.5" customHeight="1">
      <c r="A3363" s="3"/>
      <c r="B3363" s="3"/>
      <c r="C3363" s="3"/>
      <c r="D3363" s="3"/>
    </row>
    <row r="3364" spans="1:4" ht="16.5" customHeight="1">
      <c r="A3364" s="3"/>
      <c r="B3364" s="3"/>
      <c r="C3364" s="3"/>
      <c r="D3364" s="3"/>
    </row>
    <row r="3365" spans="1:4" ht="16.5" customHeight="1">
      <c r="A3365" s="3"/>
      <c r="B3365" s="3"/>
      <c r="C3365" s="3"/>
      <c r="D3365" s="3"/>
    </row>
    <row r="3366" spans="1:4" ht="16.5" customHeight="1">
      <c r="A3366" s="3"/>
      <c r="B3366" s="3"/>
      <c r="C3366" s="3"/>
      <c r="D3366" s="3"/>
    </row>
    <row r="3367" spans="1:4" ht="16.5" customHeight="1">
      <c r="A3367" s="3"/>
      <c r="B3367" s="3"/>
      <c r="C3367" s="3"/>
      <c r="D3367" s="3"/>
    </row>
    <row r="3368" spans="1:4" ht="16.5" customHeight="1">
      <c r="A3368" s="3"/>
      <c r="B3368" s="3"/>
      <c r="C3368" s="3"/>
      <c r="D3368" s="3"/>
    </row>
    <row r="3369" spans="1:4" ht="16.5" customHeight="1">
      <c r="A3369" s="3"/>
      <c r="B3369" s="3"/>
      <c r="C3369" s="3"/>
      <c r="D3369" s="3"/>
    </row>
    <row r="3370" spans="1:4" ht="16.5" customHeight="1">
      <c r="A3370" s="3"/>
      <c r="B3370" s="3"/>
      <c r="C3370" s="3"/>
      <c r="D3370" s="3"/>
    </row>
    <row r="3371" spans="1:4" ht="16.5" customHeight="1">
      <c r="A3371" s="3"/>
      <c r="B3371" s="3"/>
      <c r="C3371" s="3"/>
      <c r="D3371" s="3"/>
    </row>
    <row r="3372" spans="1:4" ht="16.5" customHeight="1">
      <c r="A3372" s="3"/>
      <c r="B3372" s="3"/>
      <c r="C3372" s="3"/>
      <c r="D3372" s="3"/>
    </row>
    <row r="3373" spans="1:4" ht="16.5" customHeight="1">
      <c r="A3373" s="3"/>
      <c r="B3373" s="3"/>
      <c r="C3373" s="3"/>
      <c r="D3373" s="3"/>
    </row>
    <row r="3374" spans="1:4" ht="16.5" customHeight="1">
      <c r="A3374" s="3"/>
      <c r="B3374" s="3"/>
      <c r="C3374" s="3"/>
      <c r="D3374" s="3"/>
    </row>
    <row r="3375" spans="1:4" ht="16.5" customHeight="1">
      <c r="A3375" s="3"/>
      <c r="B3375" s="3"/>
      <c r="C3375" s="3"/>
      <c r="D3375" s="3"/>
    </row>
    <row r="3376" spans="1:4" ht="16.5" customHeight="1">
      <c r="A3376" s="3"/>
      <c r="B3376" s="3"/>
      <c r="C3376" s="3"/>
      <c r="D3376" s="3"/>
    </row>
    <row r="3377" spans="1:4" ht="16.5" customHeight="1">
      <c r="A3377" s="3"/>
      <c r="B3377" s="3"/>
      <c r="C3377" s="3"/>
      <c r="D3377" s="3"/>
    </row>
    <row r="3378" spans="1:4" ht="16.5" customHeight="1">
      <c r="A3378" s="3"/>
      <c r="B3378" s="3"/>
      <c r="C3378" s="3"/>
      <c r="D3378" s="3"/>
    </row>
    <row r="3379" spans="1:4" ht="16.5" customHeight="1">
      <c r="A3379" s="3"/>
      <c r="B3379" s="3"/>
      <c r="C3379" s="3"/>
      <c r="D3379" s="3"/>
    </row>
    <row r="3380" spans="1:4" ht="16.5" customHeight="1">
      <c r="A3380" s="3"/>
      <c r="B3380" s="3"/>
      <c r="C3380" s="3"/>
      <c r="D3380" s="3"/>
    </row>
    <row r="3381" spans="1:4" ht="16.5" customHeight="1">
      <c r="A3381" s="3"/>
      <c r="B3381" s="3"/>
      <c r="C3381" s="3"/>
      <c r="D3381" s="3"/>
    </row>
    <row r="3382" spans="1:4" ht="16.5" customHeight="1">
      <c r="A3382" s="3"/>
      <c r="B3382" s="3"/>
      <c r="C3382" s="3"/>
      <c r="D3382" s="3"/>
    </row>
    <row r="3383" spans="1:4" ht="16.5" customHeight="1">
      <c r="A3383" s="3"/>
      <c r="B3383" s="3"/>
      <c r="C3383" s="3"/>
      <c r="D3383" s="3"/>
    </row>
    <row r="3384" spans="1:4" ht="16.5" customHeight="1">
      <c r="A3384" s="3"/>
      <c r="B3384" s="3"/>
      <c r="C3384" s="3"/>
      <c r="D3384" s="3"/>
    </row>
    <row r="3385" spans="1:4" ht="16.5" customHeight="1">
      <c r="A3385" s="3"/>
      <c r="B3385" s="3"/>
      <c r="C3385" s="3"/>
      <c r="D3385" s="3"/>
    </row>
    <row r="3386" spans="1:4" ht="16.5" customHeight="1">
      <c r="A3386" s="3"/>
      <c r="B3386" s="3"/>
      <c r="C3386" s="3"/>
      <c r="D3386" s="3"/>
    </row>
    <row r="3387" spans="1:4" ht="16.5" customHeight="1">
      <c r="A3387" s="3"/>
      <c r="B3387" s="3"/>
      <c r="C3387" s="3"/>
      <c r="D3387" s="3"/>
    </row>
    <row r="3388" spans="1:4" ht="16.5" customHeight="1">
      <c r="A3388" s="3"/>
      <c r="B3388" s="3"/>
      <c r="C3388" s="3"/>
      <c r="D3388" s="3"/>
    </row>
    <row r="3389" spans="1:4" ht="16.5" customHeight="1">
      <c r="A3389" s="3"/>
      <c r="B3389" s="3"/>
      <c r="C3389" s="3"/>
      <c r="D3389" s="3"/>
    </row>
    <row r="3390" spans="1:4" ht="16.5" customHeight="1">
      <c r="A3390" s="3"/>
      <c r="B3390" s="3"/>
      <c r="C3390" s="3"/>
      <c r="D3390" s="3"/>
    </row>
    <row r="3391" spans="1:4" ht="16.5" customHeight="1">
      <c r="A3391" s="3"/>
      <c r="B3391" s="3"/>
      <c r="C3391" s="3"/>
      <c r="D3391" s="3"/>
    </row>
    <row r="3392" spans="1:4" ht="16.5" customHeight="1">
      <c r="A3392" s="3"/>
      <c r="B3392" s="3"/>
      <c r="C3392" s="3"/>
      <c r="D3392" s="3"/>
    </row>
    <row r="3393" spans="1:4" ht="16.5" customHeight="1">
      <c r="A3393" s="3"/>
      <c r="B3393" s="3"/>
      <c r="C3393" s="3"/>
      <c r="D3393" s="3"/>
    </row>
    <row r="3394" spans="1:4" ht="16.5" customHeight="1">
      <c r="A3394" s="3"/>
      <c r="B3394" s="3"/>
      <c r="C3394" s="3"/>
      <c r="D3394" s="3"/>
    </row>
    <row r="3395" spans="1:4" ht="16.5" customHeight="1">
      <c r="A3395" s="3"/>
      <c r="B3395" s="3"/>
      <c r="C3395" s="3"/>
      <c r="D3395" s="3"/>
    </row>
    <row r="3396" spans="1:4" ht="16.5" customHeight="1">
      <c r="A3396" s="3"/>
      <c r="B3396" s="3"/>
      <c r="C3396" s="3"/>
      <c r="D3396" s="3"/>
    </row>
    <row r="3397" spans="1:4" ht="16.5" customHeight="1">
      <c r="A3397" s="3"/>
      <c r="B3397" s="3"/>
      <c r="C3397" s="3"/>
      <c r="D3397" s="3"/>
    </row>
    <row r="3398" spans="1:4" ht="16.5" customHeight="1">
      <c r="A3398" s="3"/>
      <c r="B3398" s="3"/>
      <c r="C3398" s="3"/>
      <c r="D3398" s="3"/>
    </row>
    <row r="3399" spans="1:4" ht="16.5" customHeight="1">
      <c r="A3399" s="3"/>
      <c r="B3399" s="3"/>
      <c r="C3399" s="3"/>
      <c r="D3399" s="3"/>
    </row>
    <row r="3400" spans="1:4" ht="16.5" customHeight="1">
      <c r="A3400" s="3"/>
      <c r="B3400" s="3"/>
      <c r="C3400" s="3"/>
      <c r="D3400" s="3"/>
    </row>
    <row r="3401" spans="1:4" ht="16.5" customHeight="1">
      <c r="A3401" s="3"/>
      <c r="B3401" s="3"/>
      <c r="C3401" s="3"/>
      <c r="D3401" s="3"/>
    </row>
    <row r="3402" spans="1:4" ht="16.5" customHeight="1">
      <c r="A3402" s="3"/>
      <c r="B3402" s="3"/>
      <c r="C3402" s="3"/>
      <c r="D3402" s="3"/>
    </row>
    <row r="3403" spans="1:4" ht="16.5" customHeight="1">
      <c r="A3403" s="3"/>
      <c r="B3403" s="3"/>
      <c r="C3403" s="3"/>
      <c r="D3403" s="3"/>
    </row>
    <row r="3404" spans="1:4" ht="16.5" customHeight="1">
      <c r="A3404" s="3"/>
      <c r="B3404" s="3"/>
      <c r="C3404" s="3"/>
      <c r="D3404" s="3"/>
    </row>
    <row r="3405" spans="1:4" ht="16.5" customHeight="1">
      <c r="A3405" s="3"/>
      <c r="B3405" s="3"/>
      <c r="C3405" s="3"/>
      <c r="D3405" s="3"/>
    </row>
    <row r="3406" spans="1:4" ht="16.5" customHeight="1">
      <c r="A3406" s="3"/>
      <c r="B3406" s="3"/>
      <c r="C3406" s="3"/>
      <c r="D3406" s="3"/>
    </row>
    <row r="3407" spans="1:4" ht="16.5" customHeight="1">
      <c r="A3407" s="3"/>
      <c r="B3407" s="3"/>
      <c r="C3407" s="3"/>
      <c r="D3407" s="3"/>
    </row>
    <row r="3408" spans="1:4" ht="16.5" customHeight="1">
      <c r="A3408" s="3"/>
      <c r="B3408" s="3"/>
      <c r="C3408" s="3"/>
      <c r="D3408" s="3"/>
    </row>
    <row r="3409" spans="1:4" ht="16.5" customHeight="1">
      <c r="A3409" s="3"/>
      <c r="B3409" s="3"/>
      <c r="C3409" s="3"/>
      <c r="D3409" s="3"/>
    </row>
    <row r="3410" spans="1:4" ht="16.5" customHeight="1">
      <c r="A3410" s="3"/>
      <c r="B3410" s="3"/>
      <c r="C3410" s="3"/>
      <c r="D3410" s="3"/>
    </row>
    <row r="3411" spans="1:4" ht="16.5" customHeight="1">
      <c r="A3411" s="3"/>
      <c r="B3411" s="3"/>
      <c r="C3411" s="3"/>
      <c r="D3411" s="3"/>
    </row>
    <row r="3412" spans="1:4" ht="16.5" customHeight="1">
      <c r="A3412" s="3"/>
      <c r="B3412" s="3"/>
      <c r="C3412" s="3"/>
      <c r="D3412" s="3"/>
    </row>
    <row r="3413" spans="1:4" ht="16.5" customHeight="1">
      <c r="A3413" s="3"/>
      <c r="B3413" s="3"/>
      <c r="C3413" s="3"/>
      <c r="D3413" s="3"/>
    </row>
    <row r="3414" spans="1:4" ht="16.5" customHeight="1">
      <c r="A3414" s="3"/>
      <c r="B3414" s="3"/>
      <c r="C3414" s="3"/>
      <c r="D3414" s="3"/>
    </row>
    <row r="3415" spans="1:4" ht="16.5" customHeight="1">
      <c r="A3415" s="3"/>
      <c r="B3415" s="3"/>
      <c r="C3415" s="3"/>
      <c r="D3415" s="3"/>
    </row>
    <row r="3416" spans="1:4" ht="16.5" customHeight="1">
      <c r="A3416" s="3"/>
      <c r="B3416" s="3"/>
      <c r="C3416" s="3"/>
      <c r="D3416" s="3"/>
    </row>
    <row r="3417" spans="1:4" ht="16.5" customHeight="1">
      <c r="A3417" s="3"/>
      <c r="B3417" s="3"/>
      <c r="C3417" s="3"/>
      <c r="D3417" s="3"/>
    </row>
    <row r="3418" spans="1:4" ht="16.5" customHeight="1">
      <c r="A3418" s="3"/>
      <c r="B3418" s="3"/>
      <c r="C3418" s="3"/>
      <c r="D3418" s="3"/>
    </row>
    <row r="3419" spans="1:4" ht="16.5" customHeight="1">
      <c r="A3419" s="3"/>
      <c r="B3419" s="3"/>
      <c r="C3419" s="3"/>
      <c r="D3419" s="3"/>
    </row>
    <row r="3420" spans="1:4" ht="16.5" customHeight="1">
      <c r="A3420" s="3"/>
      <c r="B3420" s="3"/>
      <c r="C3420" s="3"/>
      <c r="D3420" s="3"/>
    </row>
    <row r="3421" spans="1:4" ht="16.5" customHeight="1">
      <c r="A3421" s="3"/>
      <c r="B3421" s="3"/>
      <c r="C3421" s="3"/>
      <c r="D3421" s="3"/>
    </row>
    <row r="3422" spans="1:4" ht="16.5" customHeight="1">
      <c r="A3422" s="3"/>
      <c r="B3422" s="3"/>
      <c r="C3422" s="3"/>
      <c r="D3422" s="3"/>
    </row>
    <row r="3423" spans="1:4" ht="16.5" customHeight="1">
      <c r="A3423" s="3"/>
      <c r="B3423" s="3"/>
      <c r="C3423" s="3"/>
      <c r="D3423" s="3"/>
    </row>
    <row r="3424" spans="1:4" ht="16.5" customHeight="1">
      <c r="A3424" s="3"/>
      <c r="B3424" s="3"/>
      <c r="C3424" s="3"/>
      <c r="D3424" s="3"/>
    </row>
    <row r="3425" spans="1:4" ht="16.5" customHeight="1">
      <c r="A3425" s="3"/>
      <c r="B3425" s="3"/>
      <c r="C3425" s="3"/>
      <c r="D3425" s="3"/>
    </row>
    <row r="3426" spans="1:4" ht="16.5" customHeight="1">
      <c r="A3426" s="3"/>
      <c r="B3426" s="3"/>
      <c r="C3426" s="3"/>
      <c r="D3426" s="3"/>
    </row>
    <row r="3427" spans="1:4" ht="16.5" customHeight="1">
      <c r="A3427" s="3"/>
      <c r="B3427" s="3"/>
      <c r="C3427" s="3"/>
      <c r="D3427" s="3"/>
    </row>
    <row r="3428" spans="1:4" ht="16.5" customHeight="1">
      <c r="A3428" s="3"/>
      <c r="B3428" s="3"/>
      <c r="C3428" s="3"/>
      <c r="D3428" s="3"/>
    </row>
    <row r="3429" spans="1:4" ht="16.5" customHeight="1">
      <c r="A3429" s="3"/>
      <c r="B3429" s="3"/>
      <c r="C3429" s="3"/>
      <c r="D3429" s="3"/>
    </row>
    <row r="3430" spans="1:4" ht="16.5" customHeight="1">
      <c r="A3430" s="3"/>
      <c r="B3430" s="3"/>
      <c r="C3430" s="3"/>
      <c r="D3430" s="3"/>
    </row>
    <row r="3431" spans="1:4" ht="16.5" customHeight="1">
      <c r="A3431" s="3"/>
      <c r="B3431" s="3"/>
      <c r="C3431" s="3"/>
      <c r="D3431" s="3"/>
    </row>
    <row r="3432" spans="1:4" ht="16.5" customHeight="1">
      <c r="A3432" s="3"/>
      <c r="B3432" s="3"/>
      <c r="C3432" s="3"/>
      <c r="D3432" s="3"/>
    </row>
    <row r="3433" spans="1:4" ht="16.5" customHeight="1">
      <c r="A3433" s="3"/>
      <c r="B3433" s="3"/>
      <c r="C3433" s="3"/>
      <c r="D3433" s="3"/>
    </row>
    <row r="3434" spans="1:4" ht="16.5" customHeight="1">
      <c r="A3434" s="3"/>
      <c r="B3434" s="3"/>
      <c r="C3434" s="3"/>
      <c r="D3434" s="3"/>
    </row>
    <row r="3435" spans="1:4" ht="16.5" customHeight="1">
      <c r="A3435" s="3"/>
      <c r="B3435" s="3"/>
      <c r="C3435" s="3"/>
      <c r="D3435" s="3"/>
    </row>
    <row r="3436" spans="1:4" ht="16.5" customHeight="1">
      <c r="A3436" s="3"/>
      <c r="B3436" s="3"/>
      <c r="C3436" s="3"/>
      <c r="D3436" s="3"/>
    </row>
    <row r="3437" spans="1:4" ht="16.5" customHeight="1">
      <c r="A3437" s="3"/>
      <c r="B3437" s="3"/>
      <c r="C3437" s="3"/>
      <c r="D3437" s="3"/>
    </row>
    <row r="3438" spans="1:4" ht="16.5" customHeight="1">
      <c r="A3438" s="3"/>
      <c r="B3438" s="3"/>
      <c r="C3438" s="3"/>
      <c r="D3438" s="3"/>
    </row>
    <row r="3439" spans="1:4" ht="16.5" customHeight="1">
      <c r="A3439" s="3"/>
      <c r="B3439" s="3"/>
      <c r="C3439" s="3"/>
      <c r="D3439" s="3"/>
    </row>
    <row r="3440" spans="1:4" ht="16.5" customHeight="1">
      <c r="A3440" s="3"/>
      <c r="B3440" s="3"/>
      <c r="C3440" s="3"/>
      <c r="D3440" s="3"/>
    </row>
    <row r="3441" spans="1:4" ht="16.5" customHeight="1">
      <c r="A3441" s="3"/>
      <c r="B3441" s="3"/>
      <c r="C3441" s="3"/>
      <c r="D3441" s="3"/>
    </row>
    <row r="3442" spans="1:4" ht="16.5" customHeight="1">
      <c r="A3442" s="3"/>
      <c r="B3442" s="3"/>
      <c r="C3442" s="3"/>
      <c r="D3442" s="3"/>
    </row>
    <row r="3443" spans="1:4" ht="16.5" customHeight="1">
      <c r="A3443" s="3"/>
      <c r="B3443" s="3"/>
      <c r="C3443" s="3"/>
      <c r="D3443" s="3"/>
    </row>
    <row r="3444" spans="1:4" ht="16.5" customHeight="1">
      <c r="A3444" s="3"/>
      <c r="B3444" s="3"/>
      <c r="C3444" s="3"/>
      <c r="D3444" s="3"/>
    </row>
    <row r="3445" spans="1:4" ht="16.5" customHeight="1">
      <c r="A3445" s="3"/>
      <c r="B3445" s="3"/>
      <c r="C3445" s="3"/>
      <c r="D3445" s="3"/>
    </row>
    <row r="3446" spans="1:4" ht="16.5" customHeight="1">
      <c r="A3446" s="3"/>
      <c r="B3446" s="3"/>
      <c r="C3446" s="3"/>
      <c r="D3446" s="3"/>
    </row>
    <row r="3447" spans="1:4" ht="16.5" customHeight="1">
      <c r="A3447" s="3"/>
      <c r="B3447" s="3"/>
      <c r="C3447" s="3"/>
      <c r="D3447" s="3"/>
    </row>
    <row r="3448" spans="1:4" ht="16.5" customHeight="1">
      <c r="A3448" s="3"/>
      <c r="B3448" s="3"/>
      <c r="C3448" s="3"/>
      <c r="D3448" s="3"/>
    </row>
    <row r="3449" spans="1:4" ht="16.5" customHeight="1">
      <c r="A3449" s="3"/>
      <c r="B3449" s="3"/>
      <c r="C3449" s="3"/>
      <c r="D3449" s="3"/>
    </row>
    <row r="3450" spans="1:4" ht="16.5" customHeight="1">
      <c r="A3450" s="3"/>
      <c r="B3450" s="3"/>
      <c r="C3450" s="3"/>
      <c r="D3450" s="3"/>
    </row>
    <row r="3451" spans="1:4" ht="16.5" customHeight="1">
      <c r="A3451" s="3"/>
      <c r="B3451" s="3"/>
      <c r="C3451" s="3"/>
      <c r="D3451" s="3"/>
    </row>
    <row r="3452" spans="1:4" ht="16.5" customHeight="1">
      <c r="A3452" s="3"/>
      <c r="B3452" s="3"/>
      <c r="C3452" s="3"/>
      <c r="D3452" s="3"/>
    </row>
    <row r="3453" spans="1:4" ht="16.5" customHeight="1">
      <c r="A3453" s="3"/>
      <c r="B3453" s="3"/>
      <c r="C3453" s="3"/>
      <c r="D3453" s="3"/>
    </row>
    <row r="3454" spans="1:4" ht="16.5" customHeight="1">
      <c r="A3454" s="3"/>
      <c r="B3454" s="3"/>
      <c r="C3454" s="3"/>
      <c r="D3454" s="3"/>
    </row>
    <row r="3455" spans="1:4" ht="16.5" customHeight="1">
      <c r="A3455" s="3"/>
      <c r="B3455" s="3"/>
      <c r="C3455" s="3"/>
      <c r="D3455" s="3"/>
    </row>
    <row r="3456" spans="1:4" ht="16.5" customHeight="1">
      <c r="A3456" s="3"/>
      <c r="B3456" s="3"/>
      <c r="C3456" s="3"/>
      <c r="D3456" s="3"/>
    </row>
    <row r="3457" spans="1:4" ht="16.5" customHeight="1">
      <c r="A3457" s="3"/>
      <c r="B3457" s="3"/>
      <c r="C3457" s="3"/>
      <c r="D3457" s="3"/>
    </row>
    <row r="3458" spans="1:4" ht="16.5" customHeight="1">
      <c r="A3458" s="3"/>
      <c r="B3458" s="3"/>
      <c r="C3458" s="3"/>
      <c r="D3458" s="3"/>
    </row>
    <row r="3459" spans="1:4" ht="16.5" customHeight="1">
      <c r="A3459" s="3"/>
      <c r="B3459" s="3"/>
      <c r="C3459" s="3"/>
      <c r="D3459" s="3"/>
    </row>
    <row r="3460" spans="1:4" ht="16.5" customHeight="1">
      <c r="A3460" s="3"/>
      <c r="B3460" s="3"/>
      <c r="C3460" s="3"/>
      <c r="D3460" s="3"/>
    </row>
    <row r="3461" spans="1:4" ht="16.5" customHeight="1">
      <c r="A3461" s="3"/>
      <c r="B3461" s="3"/>
      <c r="C3461" s="3"/>
      <c r="D3461" s="3"/>
    </row>
    <row r="3462" spans="1:4" ht="16.5" customHeight="1">
      <c r="A3462" s="3"/>
      <c r="B3462" s="3"/>
      <c r="C3462" s="3"/>
      <c r="D3462" s="3"/>
    </row>
    <row r="3463" spans="1:4" ht="16.5" customHeight="1">
      <c r="A3463" s="3"/>
      <c r="B3463" s="3"/>
      <c r="C3463" s="3"/>
      <c r="D3463" s="3"/>
    </row>
    <row r="3464" spans="1:4" ht="16.5" customHeight="1">
      <c r="A3464" s="3"/>
      <c r="B3464" s="3"/>
      <c r="C3464" s="3"/>
      <c r="D3464" s="3"/>
    </row>
    <row r="3465" spans="1:4" ht="16.5" customHeight="1">
      <c r="A3465" s="3"/>
      <c r="B3465" s="3"/>
      <c r="C3465" s="3"/>
      <c r="D3465" s="3"/>
    </row>
    <row r="3466" spans="1:4" ht="16.5" customHeight="1">
      <c r="A3466" s="3"/>
      <c r="B3466" s="3"/>
      <c r="C3466" s="3"/>
      <c r="D3466" s="3"/>
    </row>
    <row r="3467" spans="1:4" ht="16.5" customHeight="1">
      <c r="A3467" s="3"/>
      <c r="B3467" s="3"/>
      <c r="C3467" s="3"/>
      <c r="D3467" s="3"/>
    </row>
    <row r="3468" spans="1:4" ht="16.5" customHeight="1">
      <c r="A3468" s="3"/>
      <c r="B3468" s="3"/>
      <c r="C3468" s="3"/>
      <c r="D3468" s="3"/>
    </row>
    <row r="3469" spans="1:4" ht="16.5" customHeight="1">
      <c r="A3469" s="3"/>
      <c r="B3469" s="3"/>
      <c r="C3469" s="3"/>
      <c r="D3469" s="3"/>
    </row>
    <row r="3470" spans="1:4" ht="16.5" customHeight="1">
      <c r="A3470" s="3"/>
      <c r="B3470" s="3"/>
      <c r="C3470" s="3"/>
      <c r="D3470" s="3"/>
    </row>
    <row r="3471" spans="1:4" ht="16.5" customHeight="1">
      <c r="A3471" s="3"/>
      <c r="B3471" s="3"/>
      <c r="C3471" s="3"/>
      <c r="D3471" s="3"/>
    </row>
    <row r="3472" spans="1:4" ht="16.5" customHeight="1">
      <c r="A3472" s="3"/>
      <c r="B3472" s="3"/>
      <c r="C3472" s="3"/>
      <c r="D3472" s="3"/>
    </row>
    <row r="3473" spans="1:4" ht="16.5" customHeight="1">
      <c r="A3473" s="3"/>
      <c r="B3473" s="3"/>
      <c r="C3473" s="3"/>
      <c r="D3473" s="3"/>
    </row>
    <row r="3474" spans="1:4" ht="16.5" customHeight="1">
      <c r="A3474" s="3"/>
      <c r="B3474" s="3"/>
      <c r="C3474" s="3"/>
      <c r="D3474" s="3"/>
    </row>
    <row r="3475" spans="1:4" ht="16.5" customHeight="1">
      <c r="A3475" s="3"/>
      <c r="B3475" s="3"/>
      <c r="C3475" s="3"/>
      <c r="D3475" s="3"/>
    </row>
    <row r="3476" spans="1:4" ht="16.5" customHeight="1">
      <c r="A3476" s="3"/>
      <c r="B3476" s="3"/>
      <c r="C3476" s="3"/>
      <c r="D3476" s="3"/>
    </row>
    <row r="3477" spans="1:4" ht="16.5" customHeight="1">
      <c r="A3477" s="3"/>
      <c r="B3477" s="3"/>
      <c r="C3477" s="3"/>
      <c r="D3477" s="3"/>
    </row>
    <row r="3478" spans="1:4" ht="16.5" customHeight="1">
      <c r="A3478" s="3"/>
      <c r="B3478" s="3"/>
      <c r="C3478" s="3"/>
      <c r="D3478" s="3"/>
    </row>
    <row r="3479" spans="1:4" ht="16.5" customHeight="1">
      <c r="A3479" s="3"/>
      <c r="B3479" s="3"/>
      <c r="C3479" s="3"/>
      <c r="D3479" s="3"/>
    </row>
    <row r="3480" spans="1:4" ht="16.5" customHeight="1">
      <c r="A3480" s="3"/>
      <c r="B3480" s="3"/>
      <c r="C3480" s="3"/>
      <c r="D3480" s="3"/>
    </row>
    <row r="3481" spans="1:4" ht="16.5" customHeight="1">
      <c r="A3481" s="3"/>
      <c r="B3481" s="3"/>
      <c r="C3481" s="3"/>
      <c r="D3481" s="3"/>
    </row>
    <row r="3482" spans="1:4" ht="16.5" customHeight="1">
      <c r="A3482" s="3"/>
      <c r="B3482" s="3"/>
      <c r="C3482" s="3"/>
      <c r="D3482" s="3"/>
    </row>
    <row r="3483" spans="1:4" ht="16.5" customHeight="1">
      <c r="A3483" s="3"/>
      <c r="B3483" s="3"/>
      <c r="C3483" s="3"/>
      <c r="D3483" s="3"/>
    </row>
    <row r="3484" spans="1:4" ht="16.5" customHeight="1">
      <c r="A3484" s="3"/>
      <c r="B3484" s="3"/>
      <c r="C3484" s="3"/>
      <c r="D3484" s="3"/>
    </row>
    <row r="3485" spans="1:4" ht="16.5" customHeight="1">
      <c r="A3485" s="3"/>
      <c r="B3485" s="3"/>
      <c r="C3485" s="3"/>
      <c r="D3485" s="3"/>
    </row>
    <row r="3486" spans="1:4" ht="16.5" customHeight="1">
      <c r="A3486" s="3"/>
      <c r="B3486" s="3"/>
      <c r="C3486" s="3"/>
      <c r="D3486" s="3"/>
    </row>
    <row r="3487" spans="1:4" ht="16.5" customHeight="1">
      <c r="A3487" s="3"/>
      <c r="B3487" s="3"/>
      <c r="C3487" s="3"/>
      <c r="D3487" s="3"/>
    </row>
    <row r="3488" spans="1:4" ht="16.5" customHeight="1">
      <c r="A3488" s="3"/>
      <c r="B3488" s="3"/>
      <c r="C3488" s="3"/>
      <c r="D3488" s="3"/>
    </row>
    <row r="3489" spans="1:4" ht="16.5" customHeight="1">
      <c r="A3489" s="3"/>
      <c r="B3489" s="3"/>
      <c r="C3489" s="3"/>
      <c r="D3489" s="3"/>
    </row>
    <row r="3490" spans="1:4" ht="16.5" customHeight="1">
      <c r="A3490" s="3"/>
      <c r="B3490" s="3"/>
      <c r="C3490" s="3"/>
      <c r="D3490" s="3"/>
    </row>
    <row r="3491" spans="1:4" ht="16.5" customHeight="1">
      <c r="A3491" s="3"/>
      <c r="B3491" s="3"/>
      <c r="C3491" s="3"/>
      <c r="D3491" s="3"/>
    </row>
    <row r="3492" spans="1:4" ht="16.5" customHeight="1">
      <c r="A3492" s="3"/>
      <c r="B3492" s="3"/>
      <c r="C3492" s="3"/>
      <c r="D3492" s="3"/>
    </row>
    <row r="3493" spans="1:4" ht="16.5" customHeight="1">
      <c r="A3493" s="3"/>
      <c r="B3493" s="3"/>
      <c r="C3493" s="3"/>
      <c r="D3493" s="3"/>
    </row>
    <row r="3494" spans="1:4" ht="16.5" customHeight="1">
      <c r="A3494" s="3"/>
      <c r="B3494" s="3"/>
      <c r="C3494" s="3"/>
      <c r="D3494" s="3"/>
    </row>
    <row r="3495" spans="1:4" ht="16.5" customHeight="1">
      <c r="A3495" s="3"/>
      <c r="B3495" s="3"/>
      <c r="C3495" s="3"/>
      <c r="D3495" s="3"/>
    </row>
    <row r="3496" spans="1:4" ht="16.5" customHeight="1">
      <c r="A3496" s="3"/>
      <c r="B3496" s="3"/>
      <c r="C3496" s="3"/>
      <c r="D3496" s="3"/>
    </row>
    <row r="3497" spans="1:4" ht="16.5" customHeight="1">
      <c r="A3497" s="3"/>
      <c r="B3497" s="3"/>
      <c r="C3497" s="3"/>
      <c r="D3497" s="3"/>
    </row>
    <row r="3498" spans="1:4" ht="16.5" customHeight="1">
      <c r="A3498" s="3"/>
      <c r="B3498" s="3"/>
      <c r="C3498" s="3"/>
      <c r="D3498" s="3"/>
    </row>
    <row r="3499" spans="1:4" ht="16.5" customHeight="1">
      <c r="A3499" s="3"/>
      <c r="B3499" s="3"/>
      <c r="C3499" s="3"/>
      <c r="D3499" s="3"/>
    </row>
    <row r="3500" spans="1:4" ht="16.5" customHeight="1">
      <c r="A3500" s="3"/>
      <c r="B3500" s="3"/>
      <c r="C3500" s="3"/>
      <c r="D3500" s="3"/>
    </row>
    <row r="3501" spans="1:4" ht="16.5" customHeight="1">
      <c r="A3501" s="3"/>
      <c r="B3501" s="3"/>
      <c r="C3501" s="3"/>
      <c r="D3501" s="3"/>
    </row>
    <row r="3502" spans="1:4" ht="16.5" customHeight="1">
      <c r="A3502" s="3"/>
      <c r="B3502" s="3"/>
      <c r="C3502" s="3"/>
      <c r="D3502" s="3"/>
    </row>
    <row r="3503" spans="1:4" ht="16.5" customHeight="1">
      <c r="A3503" s="3"/>
      <c r="B3503" s="3"/>
      <c r="C3503" s="3"/>
      <c r="D3503" s="3"/>
    </row>
    <row r="3504" spans="1:4" ht="16.5" customHeight="1">
      <c r="A3504" s="3"/>
      <c r="B3504" s="3"/>
      <c r="C3504" s="3"/>
      <c r="D3504" s="3"/>
    </row>
    <row r="3505" spans="1:4" ht="16.5" customHeight="1">
      <c r="A3505" s="3"/>
      <c r="B3505" s="3"/>
      <c r="C3505" s="3"/>
      <c r="D3505" s="3"/>
    </row>
    <row r="3506" spans="1:4" ht="16.5" customHeight="1">
      <c r="A3506" s="3"/>
      <c r="B3506" s="3"/>
      <c r="C3506" s="3"/>
      <c r="D3506" s="3"/>
    </row>
    <row r="3507" spans="1:4" ht="16.5" customHeight="1">
      <c r="A3507" s="3"/>
      <c r="B3507" s="3"/>
      <c r="C3507" s="3"/>
      <c r="D3507" s="3"/>
    </row>
    <row r="3508" spans="1:4" ht="16.5" customHeight="1">
      <c r="A3508" s="3"/>
      <c r="B3508" s="3"/>
      <c r="C3508" s="3"/>
      <c r="D3508" s="3"/>
    </row>
    <row r="3509" spans="1:4" ht="16.5" customHeight="1">
      <c r="A3509" s="3"/>
      <c r="B3509" s="3"/>
      <c r="C3509" s="3"/>
      <c r="D3509" s="3"/>
    </row>
    <row r="3510" spans="1:4" ht="16.5" customHeight="1">
      <c r="A3510" s="3"/>
      <c r="B3510" s="3"/>
      <c r="C3510" s="3"/>
      <c r="D3510" s="3"/>
    </row>
    <row r="3511" spans="1:4" ht="16.5" customHeight="1">
      <c r="A3511" s="3"/>
      <c r="B3511" s="3"/>
      <c r="C3511" s="3"/>
      <c r="D3511" s="3"/>
    </row>
    <row r="3512" spans="1:4" ht="16.5" customHeight="1">
      <c r="A3512" s="3"/>
      <c r="B3512" s="3"/>
      <c r="C3512" s="3"/>
      <c r="D3512" s="3"/>
    </row>
    <row r="3513" spans="1:4" ht="16.5" customHeight="1">
      <c r="A3513" s="3"/>
      <c r="B3513" s="3"/>
      <c r="C3513" s="3"/>
      <c r="D3513" s="3"/>
    </row>
    <row r="3514" spans="1:4" ht="16.5" customHeight="1">
      <c r="A3514" s="3"/>
      <c r="B3514" s="3"/>
      <c r="C3514" s="3"/>
      <c r="D3514" s="3"/>
    </row>
    <row r="3515" spans="1:4" ht="16.5" customHeight="1">
      <c r="A3515" s="3"/>
      <c r="B3515" s="3"/>
      <c r="C3515" s="3"/>
      <c r="D3515" s="3"/>
    </row>
    <row r="3516" spans="1:4" ht="16.5" customHeight="1">
      <c r="A3516" s="3"/>
      <c r="B3516" s="3"/>
      <c r="C3516" s="3"/>
      <c r="D3516" s="3"/>
    </row>
    <row r="3517" spans="1:4" ht="16.5" customHeight="1">
      <c r="A3517" s="3"/>
      <c r="B3517" s="3"/>
      <c r="C3517" s="3"/>
      <c r="D3517" s="3"/>
    </row>
    <row r="3518" spans="1:4" ht="16.5" customHeight="1">
      <c r="A3518" s="3"/>
      <c r="B3518" s="3"/>
      <c r="C3518" s="3"/>
      <c r="D3518" s="3"/>
    </row>
    <row r="3519" spans="1:4" ht="16.5" customHeight="1">
      <c r="A3519" s="3"/>
      <c r="B3519" s="3"/>
      <c r="C3519" s="3"/>
      <c r="D3519" s="3"/>
    </row>
    <row r="3520" spans="1:4" ht="16.5" customHeight="1">
      <c r="A3520" s="3"/>
      <c r="B3520" s="3"/>
      <c r="C3520" s="3"/>
      <c r="D3520" s="3"/>
    </row>
    <row r="3521" spans="1:4" ht="16.5" customHeight="1">
      <c r="A3521" s="3"/>
      <c r="B3521" s="3"/>
      <c r="C3521" s="3"/>
      <c r="D3521" s="3"/>
    </row>
    <row r="3522" spans="1:4" ht="16.5" customHeight="1">
      <c r="A3522" s="3"/>
      <c r="B3522" s="3"/>
      <c r="C3522" s="3"/>
      <c r="D3522" s="3"/>
    </row>
    <row r="3523" spans="1:4" ht="16.5" customHeight="1">
      <c r="A3523" s="3"/>
      <c r="B3523" s="3"/>
      <c r="C3523" s="3"/>
      <c r="D3523" s="3"/>
    </row>
    <row r="3524" spans="1:4" ht="16.5" customHeight="1">
      <c r="A3524" s="3"/>
      <c r="B3524" s="3"/>
      <c r="C3524" s="3"/>
      <c r="D3524" s="3"/>
    </row>
    <row r="3525" spans="1:4" ht="16.5" customHeight="1">
      <c r="A3525" s="3"/>
      <c r="B3525" s="3"/>
      <c r="C3525" s="3"/>
      <c r="D3525" s="3"/>
    </row>
    <row r="3526" spans="1:4" ht="16.5" customHeight="1">
      <c r="A3526" s="3"/>
      <c r="B3526" s="3"/>
      <c r="C3526" s="3"/>
      <c r="D3526" s="3"/>
    </row>
    <row r="3527" spans="1:4" ht="16.5" customHeight="1">
      <c r="A3527" s="3"/>
      <c r="B3527" s="3"/>
      <c r="C3527" s="3"/>
      <c r="D3527" s="3"/>
    </row>
    <row r="3528" spans="1:4" ht="16.5" customHeight="1">
      <c r="A3528" s="3"/>
      <c r="B3528" s="3"/>
      <c r="C3528" s="3"/>
      <c r="D3528" s="3"/>
    </row>
    <row r="3529" spans="1:4" ht="16.5" customHeight="1">
      <c r="A3529" s="3"/>
      <c r="B3529" s="3"/>
      <c r="C3529" s="3"/>
      <c r="D3529" s="3"/>
    </row>
    <row r="3530" spans="1:4" ht="16.5" customHeight="1">
      <c r="A3530" s="3"/>
      <c r="B3530" s="3"/>
      <c r="C3530" s="3"/>
      <c r="D3530" s="3"/>
    </row>
    <row r="3531" spans="1:4" ht="16.5" customHeight="1">
      <c r="A3531" s="3"/>
      <c r="B3531" s="3"/>
      <c r="C3531" s="3"/>
      <c r="D3531" s="3"/>
    </row>
    <row r="3532" spans="1:4" ht="16.5" customHeight="1">
      <c r="A3532" s="3"/>
      <c r="B3532" s="3"/>
      <c r="C3532" s="3"/>
      <c r="D3532" s="3"/>
    </row>
    <row r="3533" spans="1:4" ht="16.5" customHeight="1">
      <c r="A3533" s="3"/>
      <c r="B3533" s="3"/>
      <c r="C3533" s="3"/>
      <c r="D3533" s="3"/>
    </row>
    <row r="3534" spans="1:4" ht="16.5" customHeight="1">
      <c r="A3534" s="3"/>
      <c r="B3534" s="3"/>
      <c r="C3534" s="3"/>
      <c r="D3534" s="3"/>
    </row>
    <row r="3535" spans="1:4" ht="16.5" customHeight="1">
      <c r="A3535" s="3"/>
      <c r="B3535" s="3"/>
      <c r="C3535" s="3"/>
      <c r="D3535" s="3"/>
    </row>
    <row r="3536" spans="1:4" ht="16.5" customHeight="1">
      <c r="A3536" s="3"/>
      <c r="B3536" s="3"/>
      <c r="C3536" s="3"/>
      <c r="D3536" s="3"/>
    </row>
    <row r="3537" spans="1:4" ht="16.5" customHeight="1">
      <c r="A3537" s="3"/>
      <c r="B3537" s="3"/>
      <c r="C3537" s="3"/>
      <c r="D3537" s="3"/>
    </row>
    <row r="3538" spans="1:4" ht="16.5" customHeight="1">
      <c r="A3538" s="3"/>
      <c r="B3538" s="3"/>
      <c r="C3538" s="3"/>
      <c r="D3538" s="3"/>
    </row>
    <row r="3539" spans="1:4" ht="16.5" customHeight="1">
      <c r="A3539" s="3"/>
      <c r="B3539" s="3"/>
      <c r="C3539" s="3"/>
      <c r="D3539" s="3"/>
    </row>
    <row r="3540" spans="1:4" ht="16.5" customHeight="1">
      <c r="A3540" s="3"/>
      <c r="B3540" s="3"/>
      <c r="C3540" s="3"/>
      <c r="D3540" s="3"/>
    </row>
    <row r="3541" spans="1:4" ht="16.5" customHeight="1">
      <c r="A3541" s="3"/>
      <c r="B3541" s="3"/>
      <c r="C3541" s="3"/>
      <c r="D3541" s="3"/>
    </row>
    <row r="3542" spans="1:4" ht="16.5" customHeight="1">
      <c r="A3542" s="3"/>
      <c r="B3542" s="3"/>
      <c r="C3542" s="3"/>
      <c r="D3542" s="3"/>
    </row>
    <row r="3543" spans="1:4" ht="16.5" customHeight="1">
      <c r="A3543" s="3"/>
      <c r="B3543" s="3"/>
      <c r="C3543" s="3"/>
      <c r="D3543" s="3"/>
    </row>
    <row r="3544" spans="1:4" ht="16.5" customHeight="1">
      <c r="A3544" s="3"/>
      <c r="B3544" s="3"/>
      <c r="C3544" s="3"/>
      <c r="D3544" s="3"/>
    </row>
    <row r="3545" spans="1:4" ht="16.5" customHeight="1">
      <c r="A3545" s="3"/>
      <c r="B3545" s="3"/>
      <c r="C3545" s="3"/>
      <c r="D3545" s="3"/>
    </row>
    <row r="3546" spans="1:4" ht="16.5" customHeight="1">
      <c r="A3546" s="3"/>
      <c r="B3546" s="3"/>
      <c r="C3546" s="3"/>
      <c r="D3546" s="3"/>
    </row>
    <row r="3547" spans="1:4" ht="16.5" customHeight="1">
      <c r="A3547" s="3"/>
      <c r="B3547" s="3"/>
      <c r="C3547" s="3"/>
      <c r="D3547" s="3"/>
    </row>
    <row r="3548" spans="1:4" ht="16.5" customHeight="1">
      <c r="A3548" s="3"/>
      <c r="B3548" s="3"/>
      <c r="C3548" s="3"/>
      <c r="D3548" s="3"/>
    </row>
    <row r="3549" spans="1:4" ht="16.5" customHeight="1">
      <c r="A3549" s="3"/>
      <c r="B3549" s="3"/>
      <c r="C3549" s="3"/>
      <c r="D3549" s="3"/>
    </row>
    <row r="3550" spans="1:4" ht="16.5" customHeight="1">
      <c r="A3550" s="3"/>
      <c r="B3550" s="3"/>
      <c r="C3550" s="3"/>
      <c r="D3550" s="3"/>
    </row>
    <row r="3551" spans="1:4" ht="16.5" customHeight="1">
      <c r="A3551" s="3"/>
      <c r="B3551" s="3"/>
      <c r="C3551" s="3"/>
      <c r="D3551" s="3"/>
    </row>
    <row r="3552" spans="1:4" ht="16.5" customHeight="1">
      <c r="A3552" s="3"/>
      <c r="B3552" s="3"/>
      <c r="C3552" s="3"/>
      <c r="D3552" s="3"/>
    </row>
    <row r="3553" spans="1:4" ht="16.5" customHeight="1">
      <c r="A3553" s="3"/>
      <c r="B3553" s="3"/>
      <c r="C3553" s="3"/>
      <c r="D3553" s="3"/>
    </row>
    <row r="3554" spans="1:4" ht="16.5" customHeight="1">
      <c r="A3554" s="3"/>
      <c r="B3554" s="3"/>
      <c r="C3554" s="3"/>
      <c r="D3554" s="3"/>
    </row>
    <row r="3555" spans="1:4" ht="16.5" customHeight="1">
      <c r="A3555" s="3"/>
      <c r="B3555" s="3"/>
      <c r="C3555" s="3"/>
      <c r="D3555" s="3"/>
    </row>
    <row r="3556" spans="1:4" ht="16.5" customHeight="1">
      <c r="A3556" s="3"/>
      <c r="B3556" s="3"/>
      <c r="C3556" s="3"/>
      <c r="D3556" s="3"/>
    </row>
    <row r="3557" spans="1:4" ht="16.5" customHeight="1">
      <c r="A3557" s="3"/>
      <c r="B3557" s="3"/>
      <c r="C3557" s="3"/>
      <c r="D3557" s="3"/>
    </row>
    <row r="3558" spans="1:4" ht="16.5" customHeight="1">
      <c r="A3558" s="3"/>
      <c r="B3558" s="3"/>
      <c r="C3558" s="3"/>
      <c r="D3558" s="3"/>
    </row>
    <row r="3559" spans="1:4" ht="16.5" customHeight="1">
      <c r="A3559" s="3"/>
      <c r="B3559" s="3"/>
      <c r="C3559" s="3"/>
      <c r="D3559" s="3"/>
    </row>
    <row r="3560" spans="1:4" ht="16.5" customHeight="1">
      <c r="A3560" s="3"/>
      <c r="B3560" s="3"/>
      <c r="C3560" s="3"/>
      <c r="D3560" s="3"/>
    </row>
    <row r="3561" spans="1:4" ht="16.5" customHeight="1">
      <c r="A3561" s="3"/>
      <c r="B3561" s="3"/>
      <c r="C3561" s="3"/>
      <c r="D3561" s="3"/>
    </row>
    <row r="3562" spans="1:4" ht="16.5" customHeight="1">
      <c r="A3562" s="3"/>
      <c r="B3562" s="3"/>
      <c r="C3562" s="3"/>
      <c r="D3562" s="3"/>
    </row>
    <row r="3563" spans="1:4" ht="16.5" customHeight="1">
      <c r="A3563" s="3"/>
      <c r="B3563" s="3"/>
      <c r="C3563" s="3"/>
      <c r="D3563" s="3"/>
    </row>
    <row r="3564" spans="1:4" ht="16.5" customHeight="1">
      <c r="A3564" s="3"/>
      <c r="B3564" s="3"/>
      <c r="C3564" s="3"/>
      <c r="D3564" s="3"/>
    </row>
    <row r="3565" spans="1:4" ht="16.5" customHeight="1">
      <c r="A3565" s="3"/>
      <c r="B3565" s="3"/>
      <c r="C3565" s="3"/>
      <c r="D3565" s="3"/>
    </row>
    <row r="3566" spans="1:4" ht="16.5" customHeight="1">
      <c r="A3566" s="3"/>
      <c r="B3566" s="3"/>
      <c r="C3566" s="3"/>
      <c r="D3566" s="3"/>
    </row>
    <row r="3567" spans="1:4" ht="16.5" customHeight="1">
      <c r="A3567" s="3"/>
      <c r="B3567" s="3"/>
      <c r="C3567" s="3"/>
      <c r="D3567" s="3"/>
    </row>
    <row r="3568" spans="1:4" ht="16.5" customHeight="1">
      <c r="A3568" s="3"/>
      <c r="B3568" s="3"/>
      <c r="C3568" s="3"/>
      <c r="D3568" s="3"/>
    </row>
    <row r="3569" spans="1:4" ht="16.5" customHeight="1">
      <c r="A3569" s="3"/>
      <c r="B3569" s="3"/>
      <c r="C3569" s="3"/>
      <c r="D3569" s="3"/>
    </row>
    <row r="3570" spans="1:4" ht="16.5" customHeight="1">
      <c r="A3570" s="3"/>
      <c r="B3570" s="3"/>
      <c r="C3570" s="3"/>
      <c r="D3570" s="3"/>
    </row>
    <row r="3571" spans="1:4" ht="16.5" customHeight="1">
      <c r="A3571" s="3"/>
      <c r="B3571" s="3"/>
      <c r="C3571" s="3"/>
      <c r="D3571" s="3"/>
    </row>
    <row r="3572" spans="1:4" ht="16.5" customHeight="1">
      <c r="A3572" s="3"/>
      <c r="B3572" s="3"/>
      <c r="C3572" s="3"/>
      <c r="D3572" s="3"/>
    </row>
    <row r="3573" spans="1:4" ht="16.5" customHeight="1">
      <c r="A3573" s="3"/>
      <c r="B3573" s="3"/>
      <c r="C3573" s="3"/>
      <c r="D3573" s="3"/>
    </row>
    <row r="3574" spans="1:4" ht="16.5" customHeight="1">
      <c r="A3574" s="3"/>
      <c r="B3574" s="3"/>
      <c r="C3574" s="3"/>
      <c r="D3574" s="3"/>
    </row>
    <row r="3575" spans="1:4" ht="16.5" customHeight="1">
      <c r="A3575" s="3"/>
      <c r="B3575" s="3"/>
      <c r="C3575" s="3"/>
      <c r="D3575" s="3"/>
    </row>
    <row r="3576" spans="1:4" ht="16.5" customHeight="1">
      <c r="A3576" s="3"/>
      <c r="B3576" s="3"/>
      <c r="C3576" s="3"/>
      <c r="D3576" s="3"/>
    </row>
    <row r="3577" spans="1:4" ht="16.5" customHeight="1">
      <c r="A3577" s="3"/>
      <c r="B3577" s="3"/>
      <c r="C3577" s="3"/>
      <c r="D3577" s="3"/>
    </row>
    <row r="3578" spans="1:4" ht="16.5" customHeight="1">
      <c r="A3578" s="3"/>
      <c r="B3578" s="3"/>
      <c r="C3578" s="3"/>
      <c r="D3578" s="3"/>
    </row>
    <row r="3579" spans="1:4" ht="16.5" customHeight="1">
      <c r="A3579" s="3"/>
      <c r="B3579" s="3"/>
      <c r="C3579" s="3"/>
      <c r="D3579" s="3"/>
    </row>
    <row r="3580" spans="1:4" ht="16.5" customHeight="1">
      <c r="A3580" s="3"/>
      <c r="B3580" s="3"/>
      <c r="C3580" s="3"/>
      <c r="D3580" s="3"/>
    </row>
    <row r="3581" spans="1:4" ht="16.5" customHeight="1">
      <c r="A3581" s="3"/>
      <c r="B3581" s="3"/>
      <c r="C3581" s="3"/>
      <c r="D3581" s="3"/>
    </row>
    <row r="3582" spans="1:4" ht="16.5" customHeight="1">
      <c r="A3582" s="3"/>
      <c r="B3582" s="3"/>
      <c r="C3582" s="3"/>
      <c r="D3582" s="3"/>
    </row>
    <row r="3583" spans="1:4" ht="16.5" customHeight="1">
      <c r="A3583" s="3"/>
      <c r="B3583" s="3"/>
      <c r="C3583" s="3"/>
      <c r="D3583" s="3"/>
    </row>
    <row r="3584" spans="1:4" ht="16.5" customHeight="1">
      <c r="A3584" s="3"/>
      <c r="B3584" s="3"/>
      <c r="C3584" s="3"/>
      <c r="D3584" s="3"/>
    </row>
    <row r="3585" spans="1:4" ht="16.5" customHeight="1">
      <c r="A3585" s="3"/>
      <c r="B3585" s="3"/>
      <c r="C3585" s="3"/>
      <c r="D3585" s="3"/>
    </row>
    <row r="3586" spans="1:4" ht="16.5" customHeight="1">
      <c r="A3586" s="3"/>
      <c r="B3586" s="3"/>
      <c r="C3586" s="3"/>
      <c r="D3586" s="3"/>
    </row>
    <row r="3587" spans="1:4" ht="16.5" customHeight="1">
      <c r="A3587" s="3"/>
      <c r="B3587" s="3"/>
      <c r="C3587" s="3"/>
      <c r="D3587" s="3"/>
    </row>
    <row r="3588" spans="1:4" ht="16.5" customHeight="1">
      <c r="A3588" s="3"/>
      <c r="B3588" s="3"/>
      <c r="C3588" s="3"/>
      <c r="D3588" s="3"/>
    </row>
    <row r="3589" spans="1:4" ht="16.5" customHeight="1">
      <c r="A3589" s="3"/>
      <c r="B3589" s="3"/>
      <c r="C3589" s="3"/>
      <c r="D3589" s="3"/>
    </row>
    <row r="3590" spans="1:4" ht="16.5" customHeight="1">
      <c r="A3590" s="3"/>
      <c r="B3590" s="3"/>
      <c r="C3590" s="3"/>
      <c r="D3590" s="3"/>
    </row>
    <row r="3591" spans="1:4" ht="16.5" customHeight="1">
      <c r="A3591" s="3"/>
      <c r="B3591" s="3"/>
      <c r="C3591" s="3"/>
      <c r="D3591" s="3"/>
    </row>
    <row r="3592" spans="1:4" ht="16.5" customHeight="1">
      <c r="A3592" s="3"/>
      <c r="B3592" s="3"/>
      <c r="C3592" s="3"/>
      <c r="D3592" s="3"/>
    </row>
    <row r="3593" spans="1:4" ht="16.5" customHeight="1">
      <c r="A3593" s="3"/>
      <c r="B3593" s="3"/>
      <c r="C3593" s="3"/>
      <c r="D3593" s="3"/>
    </row>
    <row r="3594" spans="1:4" ht="16.5" customHeight="1">
      <c r="A3594" s="3"/>
      <c r="B3594" s="3"/>
      <c r="C3594" s="3"/>
      <c r="D3594" s="3"/>
    </row>
    <row r="3595" spans="1:4" ht="16.5" customHeight="1">
      <c r="A3595" s="3"/>
      <c r="B3595" s="3"/>
      <c r="C3595" s="3"/>
      <c r="D3595" s="3"/>
    </row>
    <row r="3596" spans="1:4" ht="16.5" customHeight="1">
      <c r="A3596" s="3"/>
      <c r="B3596" s="3"/>
      <c r="C3596" s="3"/>
      <c r="D3596" s="3"/>
    </row>
    <row r="3597" spans="1:4" ht="16.5" customHeight="1">
      <c r="A3597" s="3"/>
      <c r="B3597" s="3"/>
      <c r="C3597" s="3"/>
      <c r="D3597" s="3"/>
    </row>
    <row r="3598" spans="1:4" ht="16.5" customHeight="1">
      <c r="A3598" s="3"/>
      <c r="B3598" s="3"/>
      <c r="C3598" s="3"/>
      <c r="D3598" s="3"/>
    </row>
    <row r="3599" spans="1:4" ht="16.5" customHeight="1">
      <c r="A3599" s="3"/>
      <c r="B3599" s="3"/>
      <c r="C3599" s="3"/>
      <c r="D3599" s="3"/>
    </row>
    <row r="3600" spans="1:4" ht="16.5" customHeight="1">
      <c r="A3600" s="3"/>
      <c r="B3600" s="3"/>
      <c r="C3600" s="3"/>
      <c r="D3600" s="3"/>
    </row>
    <row r="3601" spans="1:4" ht="16.5" customHeight="1">
      <c r="A3601" s="3"/>
      <c r="B3601" s="3"/>
      <c r="C3601" s="3"/>
      <c r="D3601" s="3"/>
    </row>
    <row r="3602" spans="1:4" ht="16.5" customHeight="1">
      <c r="A3602" s="3"/>
      <c r="B3602" s="3"/>
      <c r="C3602" s="3"/>
      <c r="D3602" s="3"/>
    </row>
    <row r="3603" spans="1:4" ht="16.5" customHeight="1">
      <c r="A3603" s="3"/>
      <c r="B3603" s="3"/>
      <c r="C3603" s="3"/>
      <c r="D3603" s="3"/>
    </row>
    <row r="3604" spans="1:4" ht="16.5" customHeight="1">
      <c r="A3604" s="3"/>
      <c r="B3604" s="3"/>
      <c r="C3604" s="3"/>
      <c r="D3604" s="3"/>
    </row>
    <row r="3605" spans="1:4" ht="16.5" customHeight="1">
      <c r="A3605" s="3"/>
      <c r="B3605" s="3"/>
      <c r="C3605" s="3"/>
      <c r="D3605" s="3"/>
    </row>
    <row r="3606" spans="1:4" ht="16.5" customHeight="1">
      <c r="A3606" s="3"/>
      <c r="B3606" s="3"/>
      <c r="C3606" s="3"/>
      <c r="D3606" s="3"/>
    </row>
    <row r="3607" spans="1:4" ht="16.5" customHeight="1">
      <c r="A3607" s="3"/>
      <c r="B3607" s="3"/>
      <c r="C3607" s="3"/>
      <c r="D3607" s="3"/>
    </row>
    <row r="3608" spans="1:4" ht="16.5" customHeight="1">
      <c r="A3608" s="3"/>
      <c r="B3608" s="3"/>
      <c r="C3608" s="3"/>
      <c r="D3608" s="3"/>
    </row>
    <row r="3609" spans="1:4" ht="16.5" customHeight="1">
      <c r="A3609" s="3"/>
      <c r="B3609" s="3"/>
      <c r="C3609" s="3"/>
      <c r="D3609" s="3"/>
    </row>
    <row r="3610" spans="1:4" ht="16.5" customHeight="1">
      <c r="A3610" s="3"/>
      <c r="B3610" s="3"/>
      <c r="C3610" s="3"/>
      <c r="D3610" s="3"/>
    </row>
    <row r="3611" spans="1:4" ht="16.5" customHeight="1">
      <c r="A3611" s="3"/>
      <c r="B3611" s="3"/>
      <c r="C3611" s="3"/>
      <c r="D3611" s="3"/>
    </row>
    <row r="3612" spans="1:4" ht="16.5" customHeight="1">
      <c r="A3612" s="3"/>
      <c r="B3612" s="3"/>
      <c r="C3612" s="3"/>
      <c r="D3612" s="3"/>
    </row>
    <row r="3613" spans="1:4" ht="16.5" customHeight="1">
      <c r="A3613" s="3"/>
      <c r="B3613" s="3"/>
      <c r="C3613" s="3"/>
      <c r="D3613" s="3"/>
    </row>
    <row r="3614" spans="1:4" ht="16.5" customHeight="1">
      <c r="A3614" s="3"/>
      <c r="B3614" s="3"/>
      <c r="C3614" s="3"/>
      <c r="D3614" s="3"/>
    </row>
    <row r="3615" spans="1:4" ht="16.5" customHeight="1">
      <c r="A3615" s="3"/>
      <c r="B3615" s="3"/>
      <c r="C3615" s="3"/>
      <c r="D3615" s="3"/>
    </row>
    <row r="3616" spans="1:4" ht="16.5" customHeight="1">
      <c r="A3616" s="3"/>
      <c r="B3616" s="3"/>
      <c r="C3616" s="3"/>
      <c r="D3616" s="3"/>
    </row>
    <row r="3617" spans="1:4" ht="16.5" customHeight="1">
      <c r="A3617" s="3"/>
      <c r="B3617" s="3"/>
      <c r="C3617" s="3"/>
      <c r="D3617" s="3"/>
    </row>
    <row r="3618" spans="1:4" ht="16.5" customHeight="1">
      <c r="A3618" s="3"/>
      <c r="B3618" s="3"/>
      <c r="C3618" s="3"/>
      <c r="D3618" s="3"/>
    </row>
    <row r="3619" spans="1:4" ht="16.5" customHeight="1">
      <c r="A3619" s="3"/>
      <c r="B3619" s="3"/>
      <c r="C3619" s="3"/>
      <c r="D3619" s="3"/>
    </row>
    <row r="3620" spans="1:4" ht="16.5" customHeight="1">
      <c r="A3620" s="3"/>
      <c r="B3620" s="3"/>
      <c r="C3620" s="3"/>
      <c r="D3620" s="3"/>
    </row>
    <row r="3621" spans="1:4" ht="16.5" customHeight="1">
      <c r="A3621" s="3"/>
      <c r="B3621" s="3"/>
      <c r="C3621" s="3"/>
      <c r="D3621" s="3"/>
    </row>
    <row r="3622" spans="1:4" ht="16.5" customHeight="1">
      <c r="A3622" s="3"/>
      <c r="B3622" s="3"/>
      <c r="C3622" s="3"/>
      <c r="D3622" s="3"/>
    </row>
    <row r="3623" spans="1:4" ht="16.5" customHeight="1">
      <c r="A3623" s="3"/>
      <c r="B3623" s="3"/>
      <c r="C3623" s="3"/>
      <c r="D3623" s="3"/>
    </row>
    <row r="3624" spans="1:4" ht="16.5" customHeight="1">
      <c r="A3624" s="3"/>
      <c r="B3624" s="3"/>
      <c r="C3624" s="3"/>
      <c r="D3624" s="3"/>
    </row>
    <row r="3625" spans="1:4" ht="16.5" customHeight="1">
      <c r="A3625" s="3"/>
      <c r="B3625" s="3"/>
      <c r="C3625" s="3"/>
      <c r="D3625" s="3"/>
    </row>
    <row r="3626" spans="1:4" ht="16.5" customHeight="1">
      <c r="A3626" s="3"/>
      <c r="B3626" s="3"/>
      <c r="C3626" s="3"/>
      <c r="D3626" s="3"/>
    </row>
    <row r="3627" spans="1:4" ht="16.5" customHeight="1">
      <c r="A3627" s="3"/>
      <c r="B3627" s="3"/>
      <c r="C3627" s="3"/>
      <c r="D3627" s="3"/>
    </row>
    <row r="3628" spans="1:4" ht="16.5" customHeight="1">
      <c r="A3628" s="3"/>
      <c r="B3628" s="3"/>
      <c r="C3628" s="3"/>
      <c r="D3628" s="3"/>
    </row>
    <row r="3629" spans="1:4" ht="16.5" customHeight="1">
      <c r="A3629" s="3"/>
      <c r="B3629" s="3"/>
      <c r="C3629" s="3"/>
      <c r="D3629" s="3"/>
    </row>
    <row r="3630" spans="1:4" ht="16.5" customHeight="1">
      <c r="A3630" s="3"/>
      <c r="B3630" s="3"/>
      <c r="C3630" s="3"/>
      <c r="D3630" s="3"/>
    </row>
    <row r="3631" spans="1:4" ht="16.5" customHeight="1">
      <c r="A3631" s="3"/>
      <c r="B3631" s="3"/>
      <c r="C3631" s="3"/>
      <c r="D3631" s="3"/>
    </row>
    <row r="3632" spans="1:4" ht="16.5" customHeight="1">
      <c r="A3632" s="3"/>
      <c r="B3632" s="3"/>
      <c r="C3632" s="3"/>
      <c r="D3632" s="3"/>
    </row>
    <row r="3633" spans="1:4" ht="16.5" customHeight="1">
      <c r="A3633" s="3"/>
      <c r="B3633" s="3"/>
      <c r="C3633" s="3"/>
      <c r="D3633" s="3"/>
    </row>
    <row r="3634" spans="1:4" ht="16.5" customHeight="1">
      <c r="A3634" s="3"/>
      <c r="B3634" s="3"/>
      <c r="C3634" s="3"/>
      <c r="D3634" s="3"/>
    </row>
    <row r="3635" spans="1:4" ht="16.5" customHeight="1">
      <c r="A3635" s="3"/>
      <c r="B3635" s="3"/>
      <c r="C3635" s="3"/>
      <c r="D3635" s="3"/>
    </row>
    <row r="3636" spans="1:4" ht="16.5" customHeight="1">
      <c r="A3636" s="3"/>
      <c r="B3636" s="3"/>
      <c r="C3636" s="3"/>
      <c r="D3636" s="3"/>
    </row>
    <row r="3637" spans="1:4" ht="16.5" customHeight="1">
      <c r="A3637" s="3"/>
      <c r="B3637" s="3"/>
      <c r="C3637" s="3"/>
      <c r="D3637" s="3"/>
    </row>
    <row r="3638" spans="1:4" ht="16.5" customHeight="1">
      <c r="A3638" s="3"/>
      <c r="B3638" s="3"/>
      <c r="C3638" s="3"/>
      <c r="D3638" s="3"/>
    </row>
    <row r="3639" spans="1:4" ht="16.5" customHeight="1">
      <c r="A3639" s="3"/>
      <c r="B3639" s="3"/>
      <c r="C3639" s="3"/>
      <c r="D3639" s="3"/>
    </row>
    <row r="3640" spans="1:4" ht="16.5" customHeight="1">
      <c r="A3640" s="3"/>
      <c r="B3640" s="3"/>
      <c r="C3640" s="3"/>
      <c r="D3640" s="3"/>
    </row>
    <row r="3641" spans="1:4" ht="16.5" customHeight="1">
      <c r="A3641" s="3"/>
      <c r="B3641" s="3"/>
      <c r="C3641" s="3"/>
      <c r="D3641" s="3"/>
    </row>
    <row r="3642" spans="1:4" ht="16.5" customHeight="1">
      <c r="A3642" s="3"/>
      <c r="B3642" s="3"/>
      <c r="C3642" s="3"/>
      <c r="D3642" s="3"/>
    </row>
    <row r="3643" spans="1:4" ht="16.5" customHeight="1">
      <c r="A3643" s="3"/>
      <c r="B3643" s="3"/>
      <c r="C3643" s="3"/>
      <c r="D3643" s="3"/>
    </row>
    <row r="3644" spans="1:4" ht="16.5" customHeight="1">
      <c r="A3644" s="3"/>
      <c r="B3644" s="3"/>
      <c r="C3644" s="3"/>
      <c r="D3644" s="3"/>
    </row>
    <row r="3645" spans="1:4" ht="16.5" customHeight="1">
      <c r="A3645" s="3"/>
      <c r="B3645" s="3"/>
      <c r="C3645" s="3"/>
      <c r="D3645" s="3"/>
    </row>
    <row r="3646" spans="1:4" ht="16.5" customHeight="1">
      <c r="A3646" s="3"/>
      <c r="B3646" s="3"/>
      <c r="C3646" s="3"/>
      <c r="D3646" s="3"/>
    </row>
    <row r="3647" spans="1:4" ht="16.5" customHeight="1">
      <c r="A3647" s="3"/>
      <c r="B3647" s="3"/>
      <c r="C3647" s="3"/>
      <c r="D3647" s="3"/>
    </row>
    <row r="3648" spans="1:4" ht="16.5" customHeight="1">
      <c r="A3648" s="3"/>
      <c r="B3648" s="3"/>
      <c r="C3648" s="3"/>
      <c r="D3648" s="3"/>
    </row>
    <row r="3649" spans="1:4" ht="16.5" customHeight="1">
      <c r="A3649" s="3"/>
      <c r="B3649" s="3"/>
      <c r="C3649" s="3"/>
      <c r="D3649" s="3"/>
    </row>
    <row r="3650" spans="1:4" ht="16.5" customHeight="1">
      <c r="A3650" s="3"/>
      <c r="B3650" s="3"/>
      <c r="C3650" s="3"/>
      <c r="D3650" s="3"/>
    </row>
    <row r="3651" spans="1:4" ht="16.5" customHeight="1">
      <c r="A3651" s="3"/>
      <c r="B3651" s="3"/>
      <c r="C3651" s="3"/>
      <c r="D3651" s="3"/>
    </row>
    <row r="3652" spans="1:4" ht="16.5" customHeight="1">
      <c r="A3652" s="3"/>
      <c r="B3652" s="3"/>
      <c r="C3652" s="3"/>
      <c r="D3652" s="3"/>
    </row>
    <row r="3653" spans="1:4" ht="16.5" customHeight="1">
      <c r="A3653" s="3"/>
      <c r="B3653" s="3"/>
      <c r="C3653" s="3"/>
      <c r="D3653" s="3"/>
    </row>
    <row r="3654" spans="1:4" ht="16.5" customHeight="1">
      <c r="A3654" s="3"/>
      <c r="B3654" s="3"/>
      <c r="C3654" s="3"/>
      <c r="D3654" s="3"/>
    </row>
    <row r="3655" spans="1:4" ht="16.5" customHeight="1">
      <c r="A3655" s="3"/>
      <c r="B3655" s="3"/>
      <c r="C3655" s="3"/>
      <c r="D3655" s="3"/>
    </row>
    <row r="3656" spans="1:4" ht="16.5" customHeight="1">
      <c r="A3656" s="3"/>
      <c r="B3656" s="3"/>
      <c r="C3656" s="3"/>
      <c r="D3656" s="3"/>
    </row>
    <row r="3657" spans="1:4" ht="16.5" customHeight="1">
      <c r="A3657" s="3"/>
      <c r="B3657" s="3"/>
      <c r="C3657" s="3"/>
      <c r="D3657" s="3"/>
    </row>
    <row r="3658" spans="1:4" ht="16.5" customHeight="1">
      <c r="A3658" s="3"/>
      <c r="B3658" s="3"/>
      <c r="C3658" s="3"/>
      <c r="D3658" s="3"/>
    </row>
    <row r="3659" spans="1:4" ht="16.5" customHeight="1">
      <c r="A3659" s="3"/>
      <c r="B3659" s="3"/>
      <c r="C3659" s="3"/>
      <c r="D3659" s="3"/>
    </row>
    <row r="3660" spans="1:4" ht="16.5" customHeight="1">
      <c r="A3660" s="3"/>
      <c r="B3660" s="3"/>
      <c r="C3660" s="3"/>
      <c r="D3660" s="3"/>
    </row>
    <row r="3661" spans="1:4" ht="16.5" customHeight="1">
      <c r="A3661" s="3"/>
      <c r="B3661" s="3"/>
      <c r="C3661" s="3"/>
      <c r="D3661" s="3"/>
    </row>
    <row r="3662" spans="1:4" ht="16.5" customHeight="1">
      <c r="A3662" s="3"/>
      <c r="B3662" s="3"/>
      <c r="C3662" s="3"/>
      <c r="D3662" s="3"/>
    </row>
    <row r="3663" spans="1:4" ht="16.5" customHeight="1">
      <c r="A3663" s="3"/>
      <c r="B3663" s="3"/>
      <c r="C3663" s="3"/>
      <c r="D3663" s="3"/>
    </row>
    <row r="3664" spans="1:4" ht="16.5" customHeight="1">
      <c r="A3664" s="3"/>
      <c r="B3664" s="3"/>
      <c r="C3664" s="3"/>
      <c r="D3664" s="3"/>
    </row>
    <row r="3665" spans="1:4" ht="16.5" customHeight="1">
      <c r="A3665" s="3"/>
      <c r="B3665" s="3"/>
      <c r="C3665" s="3"/>
      <c r="D3665" s="3"/>
    </row>
    <row r="3666" spans="1:4" ht="16.5" customHeight="1">
      <c r="A3666" s="3"/>
      <c r="B3666" s="3"/>
      <c r="C3666" s="3"/>
      <c r="D3666" s="3"/>
    </row>
    <row r="3667" spans="1:4" ht="16.5" customHeight="1">
      <c r="A3667" s="3"/>
      <c r="B3667" s="3"/>
      <c r="C3667" s="3"/>
      <c r="D3667" s="3"/>
    </row>
    <row r="3668" spans="1:4" ht="16.5" customHeight="1">
      <c r="A3668" s="3"/>
      <c r="B3668" s="3"/>
      <c r="C3668" s="3"/>
      <c r="D3668" s="3"/>
    </row>
    <row r="3669" spans="1:4" ht="16.5" customHeight="1">
      <c r="A3669" s="3"/>
      <c r="B3669" s="3"/>
      <c r="C3669" s="3"/>
      <c r="D3669" s="3"/>
    </row>
    <row r="3670" spans="1:4" ht="16.5" customHeight="1">
      <c r="A3670" s="3"/>
      <c r="B3670" s="3"/>
      <c r="C3670" s="3"/>
      <c r="D3670" s="3"/>
    </row>
    <row r="3671" spans="1:4" ht="16.5" customHeight="1">
      <c r="A3671" s="3"/>
      <c r="B3671" s="3"/>
      <c r="C3671" s="3"/>
      <c r="D3671" s="3"/>
    </row>
    <row r="3672" spans="1:4" ht="16.5" customHeight="1">
      <c r="A3672" s="3"/>
      <c r="B3672" s="3"/>
      <c r="C3672" s="3"/>
      <c r="D3672" s="3"/>
    </row>
    <row r="3673" spans="1:4" ht="16.5" customHeight="1">
      <c r="A3673" s="3"/>
      <c r="B3673" s="3"/>
      <c r="C3673" s="3"/>
      <c r="D3673" s="3"/>
    </row>
    <row r="3674" spans="1:4" ht="16.5" customHeight="1">
      <c r="A3674" s="3"/>
      <c r="B3674" s="3"/>
      <c r="C3674" s="3"/>
      <c r="D3674" s="3"/>
    </row>
    <row r="3675" spans="1:4" ht="16.5" customHeight="1">
      <c r="A3675" s="3"/>
      <c r="B3675" s="3"/>
      <c r="C3675" s="3"/>
      <c r="D3675" s="3"/>
    </row>
    <row r="3676" spans="1:4" ht="16.5" customHeight="1">
      <c r="A3676" s="3"/>
      <c r="B3676" s="3"/>
      <c r="C3676" s="3"/>
      <c r="D3676" s="3"/>
    </row>
    <row r="3677" spans="1:4" ht="16.5" customHeight="1">
      <c r="A3677" s="3"/>
      <c r="B3677" s="3"/>
      <c r="C3677" s="3"/>
      <c r="D3677" s="3"/>
    </row>
    <row r="3678" spans="1:4" ht="16.5" customHeight="1">
      <c r="A3678" s="3"/>
      <c r="B3678" s="3"/>
      <c r="C3678" s="3"/>
      <c r="D3678" s="3"/>
    </row>
    <row r="3679" spans="1:4" ht="16.5" customHeight="1">
      <c r="A3679" s="3"/>
      <c r="B3679" s="3"/>
      <c r="C3679" s="3"/>
      <c r="D3679" s="3"/>
    </row>
    <row r="3680" spans="1:4" ht="16.5" customHeight="1">
      <c r="A3680" s="3"/>
      <c r="B3680" s="3"/>
      <c r="C3680" s="3"/>
      <c r="D3680" s="3"/>
    </row>
    <row r="3681" spans="1:4" ht="16.5" customHeight="1">
      <c r="A3681" s="3"/>
      <c r="B3681" s="3"/>
      <c r="C3681" s="3"/>
      <c r="D3681" s="3"/>
    </row>
    <row r="3682" spans="1:4" ht="16.5" customHeight="1">
      <c r="A3682" s="3"/>
      <c r="B3682" s="3"/>
      <c r="C3682" s="3"/>
      <c r="D3682" s="3"/>
    </row>
    <row r="3683" spans="1:4" ht="16.5" customHeight="1">
      <c r="A3683" s="3"/>
      <c r="B3683" s="3"/>
      <c r="C3683" s="3"/>
      <c r="D3683" s="3"/>
    </row>
    <row r="3684" spans="1:4" ht="16.5" customHeight="1">
      <c r="A3684" s="3"/>
      <c r="B3684" s="3"/>
      <c r="C3684" s="3"/>
      <c r="D3684" s="3"/>
    </row>
    <row r="3685" spans="1:4" ht="16.5" customHeight="1">
      <c r="A3685" s="3"/>
      <c r="B3685" s="3"/>
      <c r="C3685" s="3"/>
      <c r="D3685" s="3"/>
    </row>
    <row r="3686" spans="1:4" ht="16.5" customHeight="1">
      <c r="A3686" s="3"/>
      <c r="B3686" s="3"/>
      <c r="C3686" s="3"/>
      <c r="D3686" s="3"/>
    </row>
    <row r="3687" spans="1:4" ht="16.5" customHeight="1">
      <c r="A3687" s="3"/>
      <c r="B3687" s="3"/>
      <c r="C3687" s="3"/>
      <c r="D3687" s="3"/>
    </row>
    <row r="3688" spans="1:4" ht="16.5" customHeight="1">
      <c r="A3688" s="3"/>
      <c r="B3688" s="3"/>
      <c r="C3688" s="3"/>
      <c r="D3688" s="3"/>
    </row>
    <row r="3689" spans="1:4" ht="16.5" customHeight="1">
      <c r="A3689" s="3"/>
      <c r="B3689" s="3"/>
      <c r="C3689" s="3"/>
      <c r="D3689" s="3"/>
    </row>
    <row r="3690" spans="1:4" ht="16.5" customHeight="1">
      <c r="A3690" s="3"/>
      <c r="B3690" s="3"/>
      <c r="C3690" s="3"/>
      <c r="D3690" s="3"/>
    </row>
    <row r="3691" spans="1:4" ht="16.5" customHeight="1">
      <c r="A3691" s="3"/>
      <c r="B3691" s="3"/>
      <c r="C3691" s="3"/>
      <c r="D3691" s="3"/>
    </row>
    <row r="3692" spans="1:4" ht="16.5" customHeight="1">
      <c r="A3692" s="3"/>
      <c r="B3692" s="3"/>
      <c r="C3692" s="3"/>
      <c r="D3692" s="3"/>
    </row>
    <row r="3693" spans="1:4" ht="16.5" customHeight="1">
      <c r="A3693" s="3"/>
      <c r="B3693" s="3"/>
      <c r="C3693" s="3"/>
      <c r="D3693" s="3"/>
    </row>
    <row r="3694" spans="1:4" ht="16.5" customHeight="1">
      <c r="A3694" s="3"/>
      <c r="B3694" s="3"/>
      <c r="C3694" s="3"/>
      <c r="D3694" s="3"/>
    </row>
    <row r="3695" spans="1:4" ht="16.5" customHeight="1">
      <c r="A3695" s="3"/>
      <c r="B3695" s="3"/>
      <c r="C3695" s="3"/>
      <c r="D3695" s="3"/>
    </row>
    <row r="3696" spans="1:4" ht="16.5" customHeight="1">
      <c r="A3696" s="3"/>
      <c r="B3696" s="3"/>
      <c r="C3696" s="3"/>
      <c r="D3696" s="3"/>
    </row>
    <row r="3697" spans="1:4" ht="16.5" customHeight="1">
      <c r="A3697" s="3"/>
      <c r="B3697" s="3"/>
      <c r="C3697" s="3"/>
      <c r="D3697" s="3"/>
    </row>
    <row r="3698" spans="1:4" ht="16.5" customHeight="1">
      <c r="A3698" s="3"/>
      <c r="B3698" s="3"/>
      <c r="C3698" s="3"/>
      <c r="D3698" s="3"/>
    </row>
    <row r="3699" spans="1:4" ht="16.5" customHeight="1">
      <c r="A3699" s="3"/>
      <c r="B3699" s="3"/>
      <c r="C3699" s="3"/>
      <c r="D3699" s="3"/>
    </row>
    <row r="3700" spans="1:4" ht="16.5" customHeight="1">
      <c r="A3700" s="3"/>
      <c r="B3700" s="3"/>
      <c r="C3700" s="3"/>
      <c r="D3700" s="3"/>
    </row>
    <row r="3701" spans="1:4" ht="16.5" customHeight="1">
      <c r="A3701" s="3"/>
      <c r="B3701" s="3"/>
      <c r="C3701" s="3"/>
      <c r="D3701" s="3"/>
    </row>
    <row r="3702" spans="1:4" ht="16.5" customHeight="1">
      <c r="A3702" s="3"/>
      <c r="B3702" s="3"/>
      <c r="C3702" s="3"/>
      <c r="D3702" s="3"/>
    </row>
    <row r="3703" spans="1:4" ht="16.5" customHeight="1">
      <c r="A3703" s="3"/>
      <c r="B3703" s="3"/>
      <c r="C3703" s="3"/>
      <c r="D3703" s="3"/>
    </row>
    <row r="3704" spans="1:4" ht="16.5" customHeight="1">
      <c r="A3704" s="3"/>
      <c r="B3704" s="3"/>
      <c r="C3704" s="3"/>
      <c r="D3704" s="3"/>
    </row>
    <row r="3705" spans="1:4" ht="16.5" customHeight="1">
      <c r="A3705" s="3"/>
      <c r="B3705" s="3"/>
      <c r="C3705" s="3"/>
      <c r="D3705" s="3"/>
    </row>
    <row r="3706" spans="1:4" ht="16.5" customHeight="1">
      <c r="A3706" s="3"/>
      <c r="B3706" s="3"/>
      <c r="C3706" s="3"/>
      <c r="D3706" s="3"/>
    </row>
    <row r="3707" spans="1:4" ht="16.5" customHeight="1">
      <c r="A3707" s="3"/>
      <c r="B3707" s="3"/>
      <c r="C3707" s="3"/>
      <c r="D3707" s="3"/>
    </row>
    <row r="3708" spans="1:4" ht="16.5" customHeight="1">
      <c r="A3708" s="3"/>
      <c r="B3708" s="3"/>
      <c r="C3708" s="3"/>
      <c r="D3708" s="3"/>
    </row>
    <row r="3709" spans="1:4" ht="16.5" customHeight="1">
      <c r="A3709" s="3"/>
      <c r="B3709" s="3"/>
      <c r="C3709" s="3"/>
      <c r="D3709" s="3"/>
    </row>
    <row r="3710" spans="1:4" ht="16.5" customHeight="1">
      <c r="A3710" s="3"/>
      <c r="B3710" s="3"/>
      <c r="C3710" s="3"/>
      <c r="D3710" s="3"/>
    </row>
    <row r="3711" spans="1:4" ht="16.5" customHeight="1">
      <c r="A3711" s="3"/>
      <c r="B3711" s="3"/>
      <c r="C3711" s="3"/>
      <c r="D3711" s="3"/>
    </row>
    <row r="3712" spans="1:4" ht="16.5" customHeight="1">
      <c r="A3712" s="3"/>
      <c r="B3712" s="3"/>
      <c r="C3712" s="3"/>
      <c r="D3712" s="3"/>
    </row>
    <row r="3713" spans="1:4" ht="16.5" customHeight="1">
      <c r="A3713" s="3"/>
      <c r="B3713" s="3"/>
      <c r="C3713" s="3"/>
      <c r="D3713" s="3"/>
    </row>
    <row r="3714" spans="1:4" ht="16.5" customHeight="1">
      <c r="A3714" s="3"/>
      <c r="B3714" s="3"/>
      <c r="C3714" s="3"/>
      <c r="D3714" s="3"/>
    </row>
    <row r="3715" spans="1:4" ht="16.5" customHeight="1">
      <c r="A3715" s="3"/>
      <c r="B3715" s="3"/>
      <c r="C3715" s="3"/>
      <c r="D3715" s="3"/>
    </row>
    <row r="3716" spans="1:4" ht="16.5" customHeight="1">
      <c r="A3716" s="3"/>
      <c r="B3716" s="3"/>
      <c r="C3716" s="3"/>
      <c r="D3716" s="3"/>
    </row>
    <row r="3717" spans="1:4" ht="16.5" customHeight="1">
      <c r="A3717" s="3"/>
      <c r="B3717" s="3"/>
      <c r="C3717" s="3"/>
      <c r="D3717" s="3"/>
    </row>
    <row r="3718" spans="1:4" ht="16.5" customHeight="1">
      <c r="A3718" s="3"/>
      <c r="B3718" s="3"/>
      <c r="C3718" s="3"/>
      <c r="D3718" s="3"/>
    </row>
    <row r="3719" spans="1:4" ht="16.5" customHeight="1">
      <c r="A3719" s="3"/>
      <c r="B3719" s="3"/>
      <c r="C3719" s="3"/>
      <c r="D3719" s="3"/>
    </row>
    <row r="3720" spans="1:4" ht="16.5" customHeight="1">
      <c r="A3720" s="3"/>
      <c r="B3720" s="3"/>
      <c r="C3720" s="3"/>
      <c r="D3720" s="3"/>
    </row>
    <row r="3721" spans="1:4" ht="16.5" customHeight="1">
      <c r="A3721" s="3"/>
      <c r="B3721" s="3"/>
      <c r="C3721" s="3"/>
      <c r="D3721" s="3"/>
    </row>
    <row r="3722" spans="1:4" ht="16.5" customHeight="1">
      <c r="A3722" s="3"/>
      <c r="B3722" s="3"/>
      <c r="C3722" s="3"/>
      <c r="D3722" s="3"/>
    </row>
    <row r="3723" spans="1:4" ht="16.5" customHeight="1">
      <c r="A3723" s="3"/>
      <c r="B3723" s="3"/>
      <c r="C3723" s="3"/>
      <c r="D3723" s="3"/>
    </row>
    <row r="3724" spans="1:4" ht="16.5" customHeight="1">
      <c r="A3724" s="3"/>
      <c r="B3724" s="3"/>
      <c r="C3724" s="3"/>
      <c r="D3724" s="3"/>
    </row>
    <row r="3725" spans="1:4" ht="16.5" customHeight="1">
      <c r="A3725" s="3"/>
      <c r="B3725" s="3"/>
      <c r="C3725" s="3"/>
      <c r="D3725" s="3"/>
    </row>
    <row r="3726" spans="1:4" ht="16.5" customHeight="1">
      <c r="A3726" s="3"/>
      <c r="B3726" s="3"/>
      <c r="C3726" s="3"/>
      <c r="D3726" s="3"/>
    </row>
    <row r="3727" spans="1:4" ht="16.5" customHeight="1">
      <c r="A3727" s="3"/>
      <c r="B3727" s="3"/>
      <c r="C3727" s="3"/>
      <c r="D3727" s="3"/>
    </row>
    <row r="3728" spans="1:4" ht="16.5" customHeight="1">
      <c r="A3728" s="3"/>
      <c r="B3728" s="3"/>
      <c r="C3728" s="3"/>
      <c r="D3728" s="3"/>
    </row>
    <row r="3729" spans="1:4" ht="16.5" customHeight="1">
      <c r="A3729" s="3"/>
      <c r="B3729" s="3"/>
      <c r="C3729" s="3"/>
      <c r="D3729" s="3"/>
    </row>
    <row r="3730" spans="1:4" ht="16.5" customHeight="1">
      <c r="A3730" s="3"/>
      <c r="B3730" s="3"/>
      <c r="C3730" s="3"/>
      <c r="D3730" s="3"/>
    </row>
    <row r="3731" spans="1:4" ht="16.5" customHeight="1">
      <c r="A3731" s="3"/>
      <c r="B3731" s="3"/>
      <c r="C3731" s="3"/>
      <c r="D3731" s="3"/>
    </row>
    <row r="3732" spans="1:4" ht="16.5" customHeight="1">
      <c r="A3732" s="3"/>
      <c r="B3732" s="3"/>
      <c r="C3732" s="3"/>
      <c r="D3732" s="3"/>
    </row>
    <row r="3733" spans="1:4" ht="16.5" customHeight="1">
      <c r="A3733" s="3"/>
      <c r="B3733" s="3"/>
      <c r="C3733" s="3"/>
      <c r="D3733" s="3"/>
    </row>
    <row r="3734" spans="1:4" ht="16.5" customHeight="1">
      <c r="A3734" s="3"/>
      <c r="B3734" s="3"/>
      <c r="C3734" s="3"/>
      <c r="D3734" s="3"/>
    </row>
    <row r="3735" spans="1:4" ht="16.5" customHeight="1">
      <c r="A3735" s="3"/>
      <c r="B3735" s="3"/>
      <c r="C3735" s="3"/>
      <c r="D3735" s="3"/>
    </row>
    <row r="3736" spans="1:4" ht="16.5" customHeight="1">
      <c r="A3736" s="3"/>
      <c r="B3736" s="3"/>
      <c r="C3736" s="3"/>
      <c r="D3736" s="3"/>
    </row>
    <row r="3737" spans="1:4" ht="16.5" customHeight="1">
      <c r="A3737" s="3"/>
      <c r="B3737" s="3"/>
      <c r="C3737" s="3"/>
      <c r="D3737" s="3"/>
    </row>
    <row r="3738" spans="1:4" ht="16.5" customHeight="1">
      <c r="A3738" s="3"/>
      <c r="B3738" s="3"/>
      <c r="C3738" s="3"/>
      <c r="D3738" s="3"/>
    </row>
    <row r="3739" spans="1:4" ht="16.5" customHeight="1">
      <c r="A3739" s="3"/>
      <c r="B3739" s="3"/>
      <c r="C3739" s="3"/>
      <c r="D3739" s="3"/>
    </row>
    <row r="3740" spans="1:4" ht="16.5" customHeight="1">
      <c r="A3740" s="3"/>
      <c r="B3740" s="3"/>
      <c r="C3740" s="3"/>
      <c r="D3740" s="3"/>
    </row>
    <row r="3741" spans="1:4" ht="16.5" customHeight="1">
      <c r="A3741" s="3"/>
      <c r="B3741" s="3"/>
      <c r="C3741" s="3"/>
      <c r="D3741" s="3"/>
    </row>
    <row r="3742" spans="1:4" ht="16.5" customHeight="1">
      <c r="A3742" s="3"/>
      <c r="B3742" s="3"/>
      <c r="C3742" s="3"/>
      <c r="D3742" s="3"/>
    </row>
    <row r="3743" spans="1:4" ht="16.5" customHeight="1">
      <c r="A3743" s="3"/>
      <c r="B3743" s="3"/>
      <c r="C3743" s="3"/>
      <c r="D3743" s="3"/>
    </row>
    <row r="3744" spans="1:4" ht="16.5" customHeight="1">
      <c r="A3744" s="3"/>
      <c r="B3744" s="3"/>
      <c r="C3744" s="3"/>
      <c r="D3744" s="3"/>
    </row>
    <row r="3745" spans="1:4" ht="16.5" customHeight="1">
      <c r="A3745" s="3"/>
      <c r="B3745" s="3"/>
      <c r="C3745" s="3"/>
      <c r="D3745" s="3"/>
    </row>
    <row r="3746" spans="1:4" ht="16.5" customHeight="1">
      <c r="A3746" s="3"/>
      <c r="B3746" s="3"/>
      <c r="C3746" s="3"/>
      <c r="D3746" s="3"/>
    </row>
    <row r="3747" spans="1:4" ht="16.5" customHeight="1">
      <c r="A3747" s="3"/>
      <c r="B3747" s="3"/>
      <c r="C3747" s="3"/>
      <c r="D3747" s="3"/>
    </row>
    <row r="3748" spans="1:4" ht="16.5" customHeight="1">
      <c r="A3748" s="3"/>
      <c r="B3748" s="3"/>
      <c r="C3748" s="3"/>
      <c r="D3748" s="3"/>
    </row>
    <row r="3749" spans="1:4" ht="16.5" customHeight="1">
      <c r="A3749" s="3"/>
      <c r="B3749" s="3"/>
      <c r="C3749" s="3"/>
      <c r="D3749" s="3"/>
    </row>
    <row r="3750" spans="1:4" ht="16.5" customHeight="1">
      <c r="A3750" s="3"/>
      <c r="B3750" s="3"/>
      <c r="C3750" s="3"/>
      <c r="D3750" s="3"/>
    </row>
    <row r="3751" spans="1:4" ht="16.5" customHeight="1">
      <c r="A3751" s="3"/>
      <c r="B3751" s="3"/>
      <c r="C3751" s="3"/>
      <c r="D3751" s="3"/>
    </row>
    <row r="3752" spans="1:4" ht="16.5" customHeight="1">
      <c r="A3752" s="3"/>
      <c r="B3752" s="3"/>
      <c r="C3752" s="3"/>
      <c r="D3752" s="3"/>
    </row>
    <row r="3753" spans="1:4" ht="16.5" customHeight="1">
      <c r="A3753" s="3"/>
      <c r="B3753" s="3"/>
      <c r="C3753" s="3"/>
      <c r="D3753" s="3"/>
    </row>
    <row r="3754" spans="1:4" ht="16.5" customHeight="1">
      <c r="A3754" s="3"/>
      <c r="B3754" s="3"/>
      <c r="C3754" s="3"/>
      <c r="D3754" s="3"/>
    </row>
    <row r="3755" spans="1:4" ht="16.5" customHeight="1">
      <c r="A3755" s="3"/>
      <c r="B3755" s="3"/>
      <c r="C3755" s="3"/>
      <c r="D3755" s="3"/>
    </row>
    <row r="3756" spans="1:4" ht="16.5" customHeight="1">
      <c r="A3756" s="3"/>
      <c r="B3756" s="3"/>
      <c r="C3756" s="3"/>
      <c r="D3756" s="3"/>
    </row>
    <row r="3757" spans="1:4" ht="16.5" customHeight="1">
      <c r="A3757" s="3"/>
      <c r="B3757" s="3"/>
      <c r="C3757" s="3"/>
      <c r="D3757" s="3"/>
    </row>
    <row r="3758" spans="1:4" ht="16.5" customHeight="1">
      <c r="A3758" s="3"/>
      <c r="B3758" s="3"/>
      <c r="C3758" s="3"/>
      <c r="D3758" s="3"/>
    </row>
    <row r="3759" spans="1:4" ht="16.5" customHeight="1">
      <c r="A3759" s="3"/>
      <c r="B3759" s="3"/>
      <c r="C3759" s="3"/>
      <c r="D3759" s="3"/>
    </row>
    <row r="3760" spans="1:4" ht="16.5" customHeight="1">
      <c r="A3760" s="3"/>
      <c r="B3760" s="3"/>
      <c r="C3760" s="3"/>
      <c r="D3760" s="3"/>
    </row>
    <row r="3761" spans="1:4" ht="16.5" customHeight="1">
      <c r="A3761" s="3"/>
      <c r="B3761" s="3"/>
      <c r="C3761" s="3"/>
      <c r="D3761" s="3"/>
    </row>
    <row r="3762" spans="1:4" ht="16.5" customHeight="1">
      <c r="A3762" s="3"/>
      <c r="B3762" s="3"/>
      <c r="C3762" s="3"/>
      <c r="D3762" s="3"/>
    </row>
    <row r="3763" spans="1:4" ht="16.5" customHeight="1">
      <c r="A3763" s="3"/>
      <c r="B3763" s="3"/>
      <c r="C3763" s="3"/>
      <c r="D3763" s="3"/>
    </row>
    <row r="3764" spans="1:4" ht="16.5" customHeight="1">
      <c r="A3764" s="3"/>
      <c r="B3764" s="3"/>
      <c r="C3764" s="3"/>
      <c r="D3764" s="3"/>
    </row>
    <row r="3765" spans="1:4" ht="16.5" customHeight="1">
      <c r="A3765" s="3"/>
      <c r="B3765" s="3"/>
      <c r="C3765" s="3"/>
      <c r="D3765" s="3"/>
    </row>
    <row r="3766" spans="1:4" ht="16.5" customHeight="1">
      <c r="A3766" s="3"/>
      <c r="B3766" s="3"/>
      <c r="C3766" s="3"/>
      <c r="D3766" s="3"/>
    </row>
    <row r="3767" spans="1:4" ht="16.5" customHeight="1">
      <c r="A3767" s="3"/>
      <c r="B3767" s="3"/>
      <c r="C3767" s="3"/>
      <c r="D3767" s="3"/>
    </row>
    <row r="3768" spans="1:4" ht="16.5" customHeight="1">
      <c r="A3768" s="3"/>
      <c r="B3768" s="3"/>
      <c r="C3768" s="3"/>
      <c r="D3768" s="3"/>
    </row>
    <row r="3769" spans="1:4" ht="16.5" customHeight="1">
      <c r="A3769" s="3"/>
      <c r="B3769" s="3"/>
      <c r="C3769" s="3"/>
      <c r="D3769" s="3"/>
    </row>
    <row r="3770" spans="1:4" ht="16.5" customHeight="1">
      <c r="A3770" s="3"/>
      <c r="B3770" s="3"/>
      <c r="C3770" s="3"/>
      <c r="D3770" s="3"/>
    </row>
    <row r="3771" spans="1:4" ht="16.5" customHeight="1">
      <c r="A3771" s="3"/>
      <c r="B3771" s="3"/>
      <c r="C3771" s="3"/>
      <c r="D3771" s="3"/>
    </row>
    <row r="3772" spans="1:4" ht="16.5" customHeight="1">
      <c r="A3772" s="3"/>
      <c r="B3772" s="3"/>
      <c r="C3772" s="3"/>
      <c r="D3772" s="3"/>
    </row>
    <row r="3773" spans="1:4" ht="16.5" customHeight="1">
      <c r="A3773" s="3"/>
      <c r="B3773" s="3"/>
      <c r="C3773" s="3"/>
      <c r="D3773" s="3"/>
    </row>
    <row r="3774" spans="1:4" ht="16.5" customHeight="1">
      <c r="A3774" s="3"/>
      <c r="B3774" s="3"/>
      <c r="C3774" s="3"/>
      <c r="D3774" s="3"/>
    </row>
    <row r="3775" spans="1:4" ht="16.5" customHeight="1">
      <c r="A3775" s="3"/>
      <c r="B3775" s="3"/>
      <c r="C3775" s="3"/>
      <c r="D3775" s="3"/>
    </row>
    <row r="3776" spans="1:4" ht="16.5" customHeight="1">
      <c r="A3776" s="3"/>
      <c r="B3776" s="3"/>
      <c r="C3776" s="3"/>
      <c r="D3776" s="3"/>
    </row>
    <row r="3777" spans="1:4" ht="16.5" customHeight="1">
      <c r="A3777" s="3"/>
      <c r="B3777" s="3"/>
      <c r="C3777" s="3"/>
      <c r="D3777" s="3"/>
    </row>
    <row r="3778" spans="1:4" ht="16.5" customHeight="1">
      <c r="A3778" s="3"/>
      <c r="B3778" s="3"/>
      <c r="C3778" s="3"/>
      <c r="D3778" s="3"/>
    </row>
    <row r="3779" spans="1:4" ht="16.5" customHeight="1">
      <c r="A3779" s="3"/>
      <c r="B3779" s="3"/>
      <c r="C3779" s="3"/>
      <c r="D3779" s="3"/>
    </row>
    <row r="3780" spans="1:4" ht="16.5" customHeight="1">
      <c r="A3780" s="3"/>
      <c r="B3780" s="3"/>
      <c r="C3780" s="3"/>
      <c r="D3780" s="3"/>
    </row>
    <row r="3781" spans="1:4" ht="16.5" customHeight="1">
      <c r="A3781" s="3"/>
      <c r="B3781" s="3"/>
      <c r="C3781" s="3"/>
      <c r="D3781" s="3"/>
    </row>
    <row r="3782" spans="1:4" ht="16.5" customHeight="1">
      <c r="A3782" s="3"/>
      <c r="B3782" s="3"/>
      <c r="C3782" s="3"/>
      <c r="D3782" s="3"/>
    </row>
    <row r="3783" spans="1:4" ht="16.5" customHeight="1">
      <c r="A3783" s="3"/>
      <c r="B3783" s="3"/>
      <c r="C3783" s="3"/>
      <c r="D3783" s="3"/>
    </row>
  </sheetData>
  <mergeCells count="3">
    <mergeCell ref="A2:B2"/>
    <mergeCell ref="B17:C17"/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pageSetUpPr fitToPage="1"/>
  </sheetPr>
  <dimension ref="A1:I513"/>
  <sheetViews>
    <sheetView showGridLines="0" workbookViewId="0">
      <pane ySplit="2415" topLeftCell="A199" activePane="bottomLeft"/>
      <selection activeCell="H192" sqref="H192"/>
      <selection pane="bottomLeft" activeCell="J212" sqref="J212"/>
    </sheetView>
  </sheetViews>
  <sheetFormatPr defaultRowHeight="12.75"/>
  <cols>
    <col min="1" max="1" width="13.42578125" style="67" customWidth="1"/>
    <col min="2" max="2" width="10.140625" style="67" bestFit="1" customWidth="1"/>
    <col min="3" max="3" width="10.140625" style="67" customWidth="1"/>
    <col min="4" max="6" width="9.140625" style="67"/>
    <col min="7" max="7" width="12.85546875" style="67" bestFit="1" customWidth="1"/>
    <col min="8" max="8" width="15.7109375" style="67" customWidth="1"/>
    <col min="9" max="16384" width="9.140625" style="62"/>
  </cols>
  <sheetData>
    <row r="1" spans="1:9" s="67" customFormat="1" ht="16.5" customHeight="1">
      <c r="B1" s="101"/>
      <c r="C1" s="101"/>
      <c r="D1" s="294" t="s">
        <v>251</v>
      </c>
      <c r="E1" s="294"/>
      <c r="F1" s="294"/>
      <c r="G1" s="294"/>
      <c r="H1" s="294"/>
    </row>
    <row r="2" spans="1:9" s="67" customFormat="1" ht="17.25" customHeight="1">
      <c r="A2" s="101"/>
      <c r="B2" s="101"/>
      <c r="C2" s="101"/>
      <c r="D2" s="294"/>
      <c r="E2" s="294"/>
      <c r="F2" s="294"/>
      <c r="G2" s="294"/>
      <c r="H2" s="294"/>
    </row>
    <row r="3" spans="1:9" s="67" customFormat="1" ht="21" customHeight="1" thickBot="1">
      <c r="A3" s="101"/>
      <c r="B3" s="101"/>
      <c r="C3" s="101"/>
      <c r="D3" s="294"/>
      <c r="E3" s="294"/>
      <c r="F3" s="294"/>
      <c r="G3" s="294"/>
      <c r="H3" s="294"/>
    </row>
    <row r="4" spans="1:9" ht="19.5" thickBot="1">
      <c r="A4" s="301" t="s">
        <v>60</v>
      </c>
      <c r="B4" s="302"/>
      <c r="C4" s="302"/>
      <c r="D4" s="303" t="s">
        <v>61</v>
      </c>
      <c r="E4" s="303"/>
      <c r="F4" s="303"/>
      <c r="G4" s="303"/>
      <c r="H4" s="304"/>
    </row>
    <row r="5" spans="1:9" ht="18" customHeight="1" thickBot="1">
      <c r="A5" s="296" t="s">
        <v>56</v>
      </c>
      <c r="B5" s="297"/>
      <c r="C5" s="297"/>
      <c r="D5" s="298" t="s">
        <v>57</v>
      </c>
      <c r="E5" s="299"/>
      <c r="F5" s="299"/>
      <c r="G5" s="300"/>
      <c r="H5" s="295" t="s">
        <v>58</v>
      </c>
    </row>
    <row r="6" spans="1:9" ht="15.75" customHeight="1" thickBot="1">
      <c r="A6" s="126" t="s">
        <v>109</v>
      </c>
      <c r="B6" s="127" t="s">
        <v>0</v>
      </c>
      <c r="C6" s="127" t="s">
        <v>4</v>
      </c>
      <c r="D6" s="127" t="s">
        <v>1</v>
      </c>
      <c r="E6" s="127" t="s">
        <v>2</v>
      </c>
      <c r="F6" s="127" t="s">
        <v>3</v>
      </c>
      <c r="G6" s="127" t="s">
        <v>59</v>
      </c>
      <c r="H6" s="295"/>
    </row>
    <row r="7" spans="1:9" s="102" customFormat="1" ht="16.5" customHeight="1" thickBot="1">
      <c r="A7" s="262" t="s">
        <v>67</v>
      </c>
      <c r="B7" s="134"/>
      <c r="C7" s="134"/>
      <c r="D7" s="134"/>
      <c r="E7" s="134"/>
      <c r="F7" s="134"/>
      <c r="G7" s="134"/>
      <c r="H7" s="135"/>
    </row>
    <row r="8" spans="1:9" ht="15" hidden="1">
      <c r="A8" s="263" t="s">
        <v>113</v>
      </c>
      <c r="B8" s="227">
        <f>[2]Diesel_S500!$C119</f>
        <v>1.3553999999999999</v>
      </c>
      <c r="C8" s="219">
        <f>100*B8/B$8</f>
        <v>100</v>
      </c>
      <c r="D8" s="219"/>
      <c r="E8" s="219"/>
      <c r="F8" s="219"/>
      <c r="G8" s="220"/>
      <c r="H8" s="221">
        <f>+B$211/B8</f>
        <v>2.4893020510550388</v>
      </c>
    </row>
    <row r="9" spans="1:9" ht="15" hidden="1">
      <c r="A9" s="222" t="s">
        <v>114</v>
      </c>
      <c r="B9" s="173">
        <f>[2]Diesel_S500!$C120</f>
        <v>1.3560000000000001</v>
      </c>
      <c r="C9" s="165">
        <f t="shared" ref="C9:C106" si="0">100*B9/B$8</f>
        <v>100.04426737494468</v>
      </c>
      <c r="D9" s="165">
        <f t="shared" ref="D9:D14" si="1">100*(B9/B8-1)</f>
        <v>4.4267374944673143E-2</v>
      </c>
      <c r="E9" s="165"/>
      <c r="F9" s="165"/>
      <c r="G9" s="225"/>
      <c r="H9" s="174">
        <f>+B$211/B9</f>
        <v>2.4882005899705009</v>
      </c>
    </row>
    <row r="10" spans="1:9" ht="15" hidden="1">
      <c r="A10" s="222" t="s">
        <v>115</v>
      </c>
      <c r="B10" s="173">
        <f>[2]Diesel_S500!$C121</f>
        <v>1.3464</v>
      </c>
      <c r="C10" s="165">
        <f t="shared" si="0"/>
        <v>99.335989375830025</v>
      </c>
      <c r="D10" s="165">
        <f t="shared" si="1"/>
        <v>-0.70796460176991705</v>
      </c>
      <c r="E10" s="165"/>
      <c r="F10" s="165"/>
      <c r="G10" s="225"/>
      <c r="H10" s="174">
        <f>+B$211/B10</f>
        <v>2.5059417706476528</v>
      </c>
    </row>
    <row r="11" spans="1:9" ht="15" hidden="1">
      <c r="A11" s="222" t="s">
        <v>116</v>
      </c>
      <c r="B11" s="173">
        <f>[2]Diesel_S500!$C122</f>
        <v>1.3319000000000001</v>
      </c>
      <c r="C11" s="165">
        <f t="shared" si="0"/>
        <v>98.266194481333926</v>
      </c>
      <c r="D11" s="165">
        <f t="shared" si="1"/>
        <v>-1.0769459298871076</v>
      </c>
      <c r="E11" s="165">
        <f t="shared" ref="E11:E16" si="2">100*(B11/B$10-1)</f>
        <v>-1.0769459298871076</v>
      </c>
      <c r="F11" s="165"/>
      <c r="G11" s="225"/>
      <c r="H11" s="174">
        <f>+B$211/B11</f>
        <v>2.5332232149560774</v>
      </c>
    </row>
    <row r="12" spans="1:9" ht="15" hidden="1">
      <c r="A12" s="222" t="s">
        <v>117</v>
      </c>
      <c r="B12" s="173">
        <f>[2]Diesel_S500!$C123</f>
        <v>1.3371999999999999</v>
      </c>
      <c r="C12" s="165">
        <f t="shared" si="0"/>
        <v>98.657222960011808</v>
      </c>
      <c r="D12" s="165">
        <f t="shared" si="1"/>
        <v>0.39792777235527765</v>
      </c>
      <c r="E12" s="165">
        <f t="shared" si="2"/>
        <v>-0.68330362448010273</v>
      </c>
      <c r="F12" s="165"/>
      <c r="G12" s="225"/>
      <c r="H12" s="174">
        <f>+B$211/B12</f>
        <v>2.5231827699670952</v>
      </c>
    </row>
    <row r="13" spans="1:9" ht="15" hidden="1">
      <c r="A13" s="222" t="s">
        <v>118</v>
      </c>
      <c r="B13" s="173">
        <f>[2]Diesel_S500!$C124</f>
        <v>1.3304</v>
      </c>
      <c r="C13" s="165">
        <f t="shared" si="0"/>
        <v>98.155526043972259</v>
      </c>
      <c r="D13" s="165">
        <f t="shared" si="1"/>
        <v>-0.50852527669756897</v>
      </c>
      <c r="E13" s="165">
        <f t="shared" si="2"/>
        <v>-1.1883541295305999</v>
      </c>
      <c r="F13" s="165"/>
      <c r="G13" s="225"/>
      <c r="H13" s="174">
        <f>+B$211/B13</f>
        <v>2.536079374624173</v>
      </c>
    </row>
    <row r="14" spans="1:9" ht="15" hidden="1">
      <c r="A14" s="222" t="s">
        <v>119</v>
      </c>
      <c r="B14" s="173">
        <f>[2]Diesel_S500!$C125</f>
        <v>1.3284</v>
      </c>
      <c r="C14" s="165">
        <f t="shared" si="0"/>
        <v>98.007968127490045</v>
      </c>
      <c r="D14" s="165">
        <f t="shared" si="1"/>
        <v>-0.15033072760072264</v>
      </c>
      <c r="E14" s="165">
        <f t="shared" si="2"/>
        <v>-1.3368983957219305</v>
      </c>
      <c r="F14" s="165"/>
      <c r="G14" s="225"/>
      <c r="H14" s="174">
        <f>+B$211/B14</f>
        <v>2.5398976211984339</v>
      </c>
    </row>
    <row r="15" spans="1:9" ht="13.5" hidden="1" customHeight="1">
      <c r="A15" s="222" t="s">
        <v>120</v>
      </c>
      <c r="B15" s="173">
        <f>[2]Diesel_S500!$C126</f>
        <v>1.3229</v>
      </c>
      <c r="C15" s="165">
        <f t="shared" si="0"/>
        <v>97.602183857163936</v>
      </c>
      <c r="D15" s="165">
        <f t="shared" ref="D15:D20" si="3">100*(B15/B14-1)</f>
        <v>-0.41403191809696871</v>
      </c>
      <c r="E15" s="165">
        <f t="shared" si="2"/>
        <v>-1.7453951277480728</v>
      </c>
      <c r="F15" s="165"/>
      <c r="G15" s="225"/>
      <c r="H15" s="174">
        <f>+B$211/B15</f>
        <v>2.5504573285962655</v>
      </c>
    </row>
    <row r="16" spans="1:9" ht="15" hidden="1">
      <c r="A16" s="222" t="s">
        <v>121</v>
      </c>
      <c r="B16" s="173">
        <f>[2]Diesel_S500!$C127</f>
        <v>1.4466000000000001</v>
      </c>
      <c r="C16" s="165">
        <f t="shared" si="0"/>
        <v>106.72864099158922</v>
      </c>
      <c r="D16" s="165">
        <f t="shared" si="3"/>
        <v>9.35066898480612</v>
      </c>
      <c r="E16" s="165">
        <f t="shared" si="2"/>
        <v>7.4420677361853871</v>
      </c>
      <c r="F16" s="165"/>
      <c r="G16" s="225"/>
      <c r="H16" s="174">
        <f>+B$211/B16</f>
        <v>2.3323655467993913</v>
      </c>
      <c r="I16" s="62" t="s">
        <v>10</v>
      </c>
    </row>
    <row r="17" spans="1:9" ht="15" hidden="1">
      <c r="A17" s="222" t="s">
        <v>122</v>
      </c>
      <c r="B17" s="173">
        <f>[2]Diesel_S500!$C128</f>
        <v>1.4466000000000001</v>
      </c>
      <c r="C17" s="165">
        <f t="shared" si="0"/>
        <v>106.72864099158922</v>
      </c>
      <c r="D17" s="165">
        <f t="shared" si="3"/>
        <v>0</v>
      </c>
      <c r="E17" s="165">
        <f t="shared" ref="E17:E22" si="4">100*(B17/B$10-1)</f>
        <v>7.4420677361853871</v>
      </c>
      <c r="F17" s="165"/>
      <c r="G17" s="225"/>
      <c r="H17" s="174">
        <f>+B$211/B17</f>
        <v>2.3323655467993913</v>
      </c>
    </row>
    <row r="18" spans="1:9" ht="15" hidden="1">
      <c r="A18" s="222" t="s">
        <v>123</v>
      </c>
      <c r="B18" s="173">
        <f>[2]Diesel_S500!$C129</f>
        <v>1.4475</v>
      </c>
      <c r="C18" s="165">
        <f t="shared" si="0"/>
        <v>106.7950420540062</v>
      </c>
      <c r="D18" s="165">
        <f t="shared" si="3"/>
        <v>6.221484861053117E-2</v>
      </c>
      <c r="E18" s="165">
        <f t="shared" si="4"/>
        <v>7.508912655971467</v>
      </c>
      <c r="F18" s="165"/>
      <c r="G18" s="225"/>
      <c r="H18" s="174">
        <f>+B$211/B18</f>
        <v>2.3309153713298789</v>
      </c>
    </row>
    <row r="19" spans="1:9" ht="15" hidden="1">
      <c r="A19" s="222" t="s">
        <v>124</v>
      </c>
      <c r="B19" s="173">
        <f>[2]Diesel_S500!$C130</f>
        <v>1.4407000000000001</v>
      </c>
      <c r="C19" s="165">
        <f t="shared" si="0"/>
        <v>106.29334513796667</v>
      </c>
      <c r="D19" s="165">
        <f t="shared" si="3"/>
        <v>-0.46977547495681282</v>
      </c>
      <c r="E19" s="165">
        <f t="shared" si="4"/>
        <v>7.0038621509209698</v>
      </c>
      <c r="F19" s="226"/>
      <c r="G19" s="185"/>
      <c r="H19" s="174">
        <f>+B$211/B19</f>
        <v>2.3419171236204619</v>
      </c>
    </row>
    <row r="20" spans="1:9" ht="15" hidden="1">
      <c r="A20" s="222" t="s">
        <v>125</v>
      </c>
      <c r="B20" s="173">
        <f>[2]Diesel_S500!$C131</f>
        <v>1.5230999999999999</v>
      </c>
      <c r="C20" s="165">
        <f t="shared" si="0"/>
        <v>112.37273129703409</v>
      </c>
      <c r="D20" s="165">
        <f t="shared" si="3"/>
        <v>5.7194419379468231</v>
      </c>
      <c r="E20" s="165">
        <f t="shared" si="4"/>
        <v>13.123885918003552</v>
      </c>
      <c r="F20" s="226">
        <f t="shared" ref="F20:F25" si="5">(100*(B20/B8-1))</f>
        <v>12.37273129703409</v>
      </c>
      <c r="G20" s="185"/>
      <c r="H20" s="174">
        <f>+B$211/B20</f>
        <v>2.2152189613288686</v>
      </c>
      <c r="I20" s="62" t="s">
        <v>10</v>
      </c>
    </row>
    <row r="21" spans="1:9" ht="15" hidden="1">
      <c r="A21" s="222" t="s">
        <v>126</v>
      </c>
      <c r="B21" s="173">
        <f>[2]Diesel_S500!$C132</f>
        <v>1.5259</v>
      </c>
      <c r="C21" s="165">
        <f t="shared" si="0"/>
        <v>112.5793123801092</v>
      </c>
      <c r="D21" s="165">
        <f t="shared" ref="D21:D26" si="6">100*(B21/B20-1)</f>
        <v>0.18383559845054354</v>
      </c>
      <c r="E21" s="165">
        <f t="shared" si="4"/>
        <v>13.331847890671412</v>
      </c>
      <c r="F21" s="226">
        <f t="shared" si="5"/>
        <v>12.529498525073745</v>
      </c>
      <c r="G21" s="185"/>
      <c r="H21" s="174">
        <f>+B$211/B21</f>
        <v>2.2111540730060946</v>
      </c>
      <c r="I21" s="62" t="s">
        <v>9</v>
      </c>
    </row>
    <row r="22" spans="1:9" ht="15" hidden="1">
      <c r="A22" s="222" t="s">
        <v>127</v>
      </c>
      <c r="B22" s="173">
        <f>[2]Diesel_S500!$C133</f>
        <v>1.6366000000000001</v>
      </c>
      <c r="C22" s="165">
        <f t="shared" si="0"/>
        <v>120.74664305740004</v>
      </c>
      <c r="D22" s="165">
        <f t="shared" si="6"/>
        <v>7.2547349105446024</v>
      </c>
      <c r="E22" s="165">
        <f t="shared" si="4"/>
        <v>21.553773024361256</v>
      </c>
      <c r="F22" s="226">
        <f t="shared" si="5"/>
        <v>21.553773024361256</v>
      </c>
      <c r="G22" s="185"/>
      <c r="H22" s="174">
        <f>+B$211/B22</f>
        <v>2.0615911035072707</v>
      </c>
      <c r="I22" s="62" t="s">
        <v>10</v>
      </c>
    </row>
    <row r="23" spans="1:9" ht="15" hidden="1">
      <c r="A23" s="222" t="s">
        <v>128</v>
      </c>
      <c r="B23" s="173">
        <f>[2]Diesel_S500!$C134</f>
        <v>1.6359999999999999</v>
      </c>
      <c r="C23" s="165">
        <f t="shared" si="0"/>
        <v>120.70237568245537</v>
      </c>
      <c r="D23" s="165">
        <f t="shared" si="6"/>
        <v>-3.6661371135293663E-2</v>
      </c>
      <c r="E23" s="165">
        <f t="shared" ref="E23:E29" si="7">100*(B23/B$22-1)</f>
        <v>-3.6661371135293663E-2</v>
      </c>
      <c r="F23" s="226">
        <f t="shared" si="5"/>
        <v>22.832044447781353</v>
      </c>
      <c r="G23" s="185"/>
      <c r="H23" s="174">
        <f>+B$211/B23</f>
        <v>2.0623471882640585</v>
      </c>
    </row>
    <row r="24" spans="1:9" ht="15" hidden="1">
      <c r="A24" s="222" t="s">
        <v>129</v>
      </c>
      <c r="B24" s="173">
        <f>[2]Diesel_S500!$C135</f>
        <v>1.6398999999999999</v>
      </c>
      <c r="C24" s="165">
        <f t="shared" si="0"/>
        <v>120.99011361959569</v>
      </c>
      <c r="D24" s="165">
        <f t="shared" si="6"/>
        <v>0.23838630806845007</v>
      </c>
      <c r="E24" s="165">
        <f t="shared" si="7"/>
        <v>0.20163754124402633</v>
      </c>
      <c r="F24" s="226">
        <f t="shared" si="5"/>
        <v>22.636853125934799</v>
      </c>
      <c r="G24" s="185"/>
      <c r="H24" s="174">
        <f>+B$211/B24</f>
        <v>2.0574425269833525</v>
      </c>
    </row>
    <row r="25" spans="1:9" ht="15" hidden="1">
      <c r="A25" s="222" t="s">
        <v>130</v>
      </c>
      <c r="B25" s="173">
        <f>[2]Diesel_S500!$C136</f>
        <v>1.643</v>
      </c>
      <c r="C25" s="165">
        <f t="shared" si="0"/>
        <v>121.21882839014314</v>
      </c>
      <c r="D25" s="165">
        <f t="shared" si="6"/>
        <v>0.1890359168241984</v>
      </c>
      <c r="E25" s="165">
        <f t="shared" si="7"/>
        <v>0.39105462544299918</v>
      </c>
      <c r="F25" s="226">
        <f t="shared" si="5"/>
        <v>23.496692723992773</v>
      </c>
      <c r="G25" s="185"/>
      <c r="H25" s="174">
        <f>+B$211/B25</f>
        <v>2.0535605599513085</v>
      </c>
    </row>
    <row r="26" spans="1:9" ht="15" hidden="1">
      <c r="A26" s="222" t="s">
        <v>131</v>
      </c>
      <c r="B26" s="173">
        <f>[2]Diesel_S500!$C137</f>
        <v>1.6386000000000001</v>
      </c>
      <c r="C26" s="165">
        <f t="shared" si="0"/>
        <v>120.89420097388226</v>
      </c>
      <c r="D26" s="165">
        <f t="shared" si="6"/>
        <v>-0.26780279975654464</v>
      </c>
      <c r="E26" s="165">
        <f t="shared" si="7"/>
        <v>0.12220457045093447</v>
      </c>
      <c r="F26" s="226">
        <f t="shared" ref="F26:F31" si="8">(100*(B26/B14-1))</f>
        <v>23.351400180668481</v>
      </c>
      <c r="G26" s="185"/>
      <c r="H26" s="174">
        <f>+B$211/B26</f>
        <v>2.0590748199682651</v>
      </c>
    </row>
    <row r="27" spans="1:9" ht="15" hidden="1">
      <c r="A27" s="222" t="s">
        <v>132</v>
      </c>
      <c r="B27" s="173">
        <f>[2]Diesel_S500!$C138</f>
        <v>1.6569</v>
      </c>
      <c r="C27" s="165">
        <f t="shared" si="0"/>
        <v>122.24435590969456</v>
      </c>
      <c r="D27" s="165">
        <f t="shared" ref="D27:D32" si="9">100*(B27/B26-1)</f>
        <v>1.1168070303917865</v>
      </c>
      <c r="E27" s="165">
        <f t="shared" si="7"/>
        <v>1.2403763900769915</v>
      </c>
      <c r="F27" s="226">
        <f t="shared" si="8"/>
        <v>25.247562174011652</v>
      </c>
      <c r="G27" s="185"/>
      <c r="H27" s="174">
        <f>+B$211/B27</f>
        <v>2.0363329108576256</v>
      </c>
    </row>
    <row r="28" spans="1:9" ht="15" hidden="1">
      <c r="A28" s="222" t="s">
        <v>133</v>
      </c>
      <c r="B28" s="173">
        <f>[2]Diesel_S500!$C139</f>
        <v>1.6478999999999999</v>
      </c>
      <c r="C28" s="165">
        <f t="shared" si="0"/>
        <v>121.58034528552457</v>
      </c>
      <c r="D28" s="165">
        <f t="shared" si="9"/>
        <v>-0.5431830526887671</v>
      </c>
      <c r="E28" s="165">
        <f t="shared" si="7"/>
        <v>0.69045582304776421</v>
      </c>
      <c r="F28" s="226">
        <f t="shared" si="8"/>
        <v>13.915387805889656</v>
      </c>
      <c r="G28" s="185"/>
      <c r="H28" s="174">
        <f>+B$211/B28</f>
        <v>2.0474543358213482</v>
      </c>
    </row>
    <row r="29" spans="1:9" ht="15" hidden="1">
      <c r="A29" s="222" t="s">
        <v>134</v>
      </c>
      <c r="B29" s="173">
        <f>[2]Diesel_S500!$C140</f>
        <v>1.653</v>
      </c>
      <c r="C29" s="165">
        <f t="shared" si="0"/>
        <v>121.95661797255424</v>
      </c>
      <c r="D29" s="165">
        <f t="shared" si="9"/>
        <v>0.30948479883488034</v>
      </c>
      <c r="E29" s="165">
        <f t="shared" si="7"/>
        <v>1.0020774776976715</v>
      </c>
      <c r="F29" s="226">
        <f t="shared" si="8"/>
        <v>14.267938614682695</v>
      </c>
      <c r="G29" s="185"/>
      <c r="H29" s="174">
        <f>+B$211/B29</f>
        <v>2.0411373260738048</v>
      </c>
    </row>
    <row r="30" spans="1:9" ht="15" hidden="1">
      <c r="A30" s="222" t="s">
        <v>135</v>
      </c>
      <c r="B30" s="173">
        <f>[2]Diesel_S500!$C141</f>
        <v>1.6459999999999999</v>
      </c>
      <c r="C30" s="165">
        <f t="shared" si="0"/>
        <v>121.44016526486647</v>
      </c>
      <c r="D30" s="165">
        <f t="shared" si="9"/>
        <v>-0.42347247428917711</v>
      </c>
      <c r="E30" s="165">
        <f>100*(B30/B$22-1)</f>
        <v>0.57436148111937868</v>
      </c>
      <c r="F30" s="226">
        <f t="shared" si="8"/>
        <v>13.713298791018991</v>
      </c>
      <c r="G30" s="185"/>
      <c r="H30" s="174">
        <f>+B$211/B30</f>
        <v>2.0498177399756985</v>
      </c>
      <c r="I30" s="62" t="s">
        <v>12</v>
      </c>
    </row>
    <row r="31" spans="1:9" ht="15" hidden="1">
      <c r="A31" s="222" t="s">
        <v>136</v>
      </c>
      <c r="B31" s="173">
        <f>[2]Diesel_S500!$C142</f>
        <v>1.8149</v>
      </c>
      <c r="C31" s="165">
        <f t="shared" si="0"/>
        <v>133.90143131178988</v>
      </c>
      <c r="D31" s="165">
        <f t="shared" si="9"/>
        <v>10.261239368165253</v>
      </c>
      <c r="E31" s="165">
        <f>100*(B31/B$22-1)</f>
        <v>10.894537455700837</v>
      </c>
      <c r="F31" s="226">
        <f t="shared" si="8"/>
        <v>25.973485111404159</v>
      </c>
      <c r="G31" s="185"/>
      <c r="H31" s="174">
        <f>+B$211/B31</f>
        <v>1.859055595349606</v>
      </c>
      <c r="I31" s="62" t="s">
        <v>11</v>
      </c>
    </row>
    <row r="32" spans="1:9" ht="15" hidden="1">
      <c r="A32" s="222" t="s">
        <v>137</v>
      </c>
      <c r="B32" s="173">
        <f>[2]Diesel_S500!$C143</f>
        <v>1.84</v>
      </c>
      <c r="C32" s="165">
        <f t="shared" si="0"/>
        <v>135.75328316364173</v>
      </c>
      <c r="D32" s="165">
        <f t="shared" si="9"/>
        <v>1.3829963083365593</v>
      </c>
      <c r="E32" s="165">
        <f>100*(B32/B$22-1)</f>
        <v>12.428204814860067</v>
      </c>
      <c r="F32" s="226">
        <f t="shared" ref="F32:F37" si="10">(100*(B32/B20-1))</f>
        <v>20.806250410347339</v>
      </c>
      <c r="G32" s="185">
        <f t="shared" ref="G32:G37" si="11">100*(B32/B8-1)</f>
        <v>35.753283163641747</v>
      </c>
      <c r="H32" s="174">
        <f>+B$211/B32</f>
        <v>1.8336956521739127</v>
      </c>
    </row>
    <row r="33" spans="1:8" ht="15" hidden="1">
      <c r="A33" s="222" t="s">
        <v>138</v>
      </c>
      <c r="B33" s="173">
        <f>[2]Diesel_S500!$C144</f>
        <v>1.83</v>
      </c>
      <c r="C33" s="165">
        <f t="shared" si="0"/>
        <v>135.01549358123063</v>
      </c>
      <c r="D33" s="165">
        <f t="shared" ref="D33:D38" si="12">100*(B33/B32-1)</f>
        <v>-0.54347826086956763</v>
      </c>
      <c r="E33" s="165">
        <f>100*(B33/B$22-1)</f>
        <v>11.817181962605394</v>
      </c>
      <c r="F33" s="226">
        <f t="shared" si="10"/>
        <v>19.929222098433709</v>
      </c>
      <c r="G33" s="185">
        <f t="shared" si="11"/>
        <v>34.955752212389378</v>
      </c>
      <c r="H33" s="174">
        <f>+B$211/B33</f>
        <v>1.8437158469945352</v>
      </c>
    </row>
    <row r="34" spans="1:8" ht="15" hidden="1">
      <c r="A34" s="222" t="s">
        <v>139</v>
      </c>
      <c r="B34" s="173">
        <f>[2]Diesel_S500!$C145</f>
        <v>1.8327500000000001</v>
      </c>
      <c r="C34" s="165">
        <f t="shared" si="0"/>
        <v>135.2183857163937</v>
      </c>
      <c r="D34" s="165">
        <f t="shared" si="12"/>
        <v>0.15027322404370658</v>
      </c>
      <c r="E34" s="165">
        <f>100*(B34/B$22-1)</f>
        <v>11.985213246975434</v>
      </c>
      <c r="F34" s="226">
        <f t="shared" si="10"/>
        <v>11.985213246975434</v>
      </c>
      <c r="G34" s="185">
        <f t="shared" si="11"/>
        <v>36.122251931075454</v>
      </c>
      <c r="H34" s="174">
        <f>+B$211/B34</f>
        <v>1.840949392988678</v>
      </c>
    </row>
    <row r="35" spans="1:8" ht="15" hidden="1">
      <c r="A35" s="222" t="s">
        <v>140</v>
      </c>
      <c r="B35" s="173">
        <f>[2]Diesel_S500!$C146</f>
        <v>1.8360000000000001</v>
      </c>
      <c r="C35" s="165">
        <f t="shared" si="0"/>
        <v>135.4581673306773</v>
      </c>
      <c r="D35" s="165">
        <f t="shared" si="12"/>
        <v>0.17732915018415785</v>
      </c>
      <c r="E35" s="165">
        <f t="shared" ref="E35:E40" si="13">100*(B35/B$34-1)</f>
        <v>0.17732915018415785</v>
      </c>
      <c r="F35" s="226">
        <f t="shared" si="10"/>
        <v>12.224938875305625</v>
      </c>
      <c r="G35" s="185">
        <f t="shared" si="11"/>
        <v>37.848186800810879</v>
      </c>
      <c r="H35" s="174">
        <f>+B$211/B35</f>
        <v>1.8376906318082786</v>
      </c>
    </row>
    <row r="36" spans="1:8" ht="15" hidden="1">
      <c r="A36" s="222" t="s">
        <v>141</v>
      </c>
      <c r="B36" s="173">
        <f>[2]Diesel_S500!$C147</f>
        <v>1.837</v>
      </c>
      <c r="C36" s="165">
        <f t="shared" si="0"/>
        <v>135.53194628891839</v>
      </c>
      <c r="D36" s="165">
        <f t="shared" si="12"/>
        <v>5.4466230936811577E-2</v>
      </c>
      <c r="E36" s="165">
        <f t="shared" si="13"/>
        <v>0.23189196562540815</v>
      </c>
      <c r="F36" s="226">
        <f t="shared" si="10"/>
        <v>12.019025550338448</v>
      </c>
      <c r="G36" s="185">
        <f t="shared" si="11"/>
        <v>37.376607837271926</v>
      </c>
      <c r="H36" s="174">
        <f>+B$211/B36</f>
        <v>1.8366902558519322</v>
      </c>
    </row>
    <row r="37" spans="1:8" ht="15" hidden="1">
      <c r="A37" s="222" t="s">
        <v>142</v>
      </c>
      <c r="B37" s="173">
        <f>[2]Diesel_S500!$C148</f>
        <v>1.8240000000000001</v>
      </c>
      <c r="C37" s="165">
        <f t="shared" si="0"/>
        <v>134.57281983178399</v>
      </c>
      <c r="D37" s="165">
        <f t="shared" si="12"/>
        <v>-0.70767555797495163</v>
      </c>
      <c r="E37" s="165">
        <f t="shared" si="13"/>
        <v>-0.47742463511117883</v>
      </c>
      <c r="F37" s="226">
        <f t="shared" si="10"/>
        <v>11.016433353621435</v>
      </c>
      <c r="G37" s="185">
        <f t="shared" si="11"/>
        <v>37.101623571858092</v>
      </c>
      <c r="H37" s="174">
        <f>+B$211/B37</f>
        <v>1.8497807017543857</v>
      </c>
    </row>
    <row r="38" spans="1:8" ht="15" hidden="1">
      <c r="A38" s="222" t="s">
        <v>143</v>
      </c>
      <c r="B38" s="173">
        <f>[2]Diesel_S500!$C149</f>
        <v>1.821</v>
      </c>
      <c r="C38" s="165">
        <f t="shared" si="0"/>
        <v>134.35148295706065</v>
      </c>
      <c r="D38" s="165">
        <f t="shared" si="12"/>
        <v>-0.16447368421053099</v>
      </c>
      <c r="E38" s="165">
        <f t="shared" si="13"/>
        <v>-0.64111308143500745</v>
      </c>
      <c r="F38" s="226">
        <f t="shared" ref="F38:F43" si="14">(100*(B38/B26-1))</f>
        <v>11.131453679970704</v>
      </c>
      <c r="G38" s="185">
        <f t="shared" ref="G38:G43" si="15">100*(B38/B14-1)</f>
        <v>37.082204155374889</v>
      </c>
      <c r="H38" s="174">
        <f>+B$211/B38</f>
        <v>1.8528281164195495</v>
      </c>
    </row>
    <row r="39" spans="1:8" ht="15" hidden="1">
      <c r="A39" s="222" t="s">
        <v>144</v>
      </c>
      <c r="B39" s="173">
        <f>[2]Diesel_S500!$C150</f>
        <v>1.825</v>
      </c>
      <c r="C39" s="165">
        <f t="shared" si="0"/>
        <v>134.64659879002508</v>
      </c>
      <c r="D39" s="165">
        <f t="shared" ref="D39:D44" si="16">100*(B39/B38-1)</f>
        <v>0.21965952773201902</v>
      </c>
      <c r="E39" s="165">
        <f t="shared" si="13"/>
        <v>-0.42286181966990632</v>
      </c>
      <c r="F39" s="226">
        <f t="shared" si="14"/>
        <v>10.14545235077553</v>
      </c>
      <c r="G39" s="185">
        <f t="shared" si="15"/>
        <v>37.954493914883969</v>
      </c>
      <c r="H39" s="174">
        <f>+B$211/B39</f>
        <v>1.848767123287671</v>
      </c>
    </row>
    <row r="40" spans="1:8" ht="15" hidden="1">
      <c r="A40" s="222" t="s">
        <v>145</v>
      </c>
      <c r="B40" s="173">
        <f>[2]Diesel_S500!$C151</f>
        <v>1.788</v>
      </c>
      <c r="C40" s="165">
        <f t="shared" si="0"/>
        <v>131.91677733510403</v>
      </c>
      <c r="D40" s="165">
        <f t="shared" si="16"/>
        <v>-2.0273972602739665</v>
      </c>
      <c r="E40" s="165">
        <f t="shared" si="13"/>
        <v>-2.4416859909971445</v>
      </c>
      <c r="F40" s="226">
        <f t="shared" si="14"/>
        <v>8.5017294738758409</v>
      </c>
      <c r="G40" s="185">
        <f t="shared" si="15"/>
        <v>23.600165906262948</v>
      </c>
      <c r="H40" s="174">
        <f>+B$211/B40</f>
        <v>1.8870246085011184</v>
      </c>
    </row>
    <row r="41" spans="1:8" ht="15" hidden="1">
      <c r="A41" s="222" t="s">
        <v>146</v>
      </c>
      <c r="B41" s="173">
        <f>[2]Diesel_S500!$C152</f>
        <v>1.8280000000000001</v>
      </c>
      <c r="C41" s="165">
        <f t="shared" si="0"/>
        <v>134.86793566474842</v>
      </c>
      <c r="D41" s="165">
        <f t="shared" si="16"/>
        <v>2.2371364653243964</v>
      </c>
      <c r="E41" s="165">
        <f t="shared" ref="E41:E46" si="17">100*(B41/B$34-1)</f>
        <v>-0.2591733733460666</v>
      </c>
      <c r="F41" s="226">
        <f t="shared" si="14"/>
        <v>10.586811857229272</v>
      </c>
      <c r="G41" s="185">
        <f t="shared" si="15"/>
        <v>26.365270288953411</v>
      </c>
      <c r="H41" s="174">
        <f>+B$211/B41</f>
        <v>1.845733041575492</v>
      </c>
    </row>
    <row r="42" spans="1:8" ht="15" hidden="1">
      <c r="A42" s="222" t="s">
        <v>147</v>
      </c>
      <c r="B42" s="173">
        <f>[2]Diesel_S500!$C153</f>
        <v>1.796</v>
      </c>
      <c r="C42" s="165">
        <f t="shared" si="0"/>
        <v>132.50700900103291</v>
      </c>
      <c r="D42" s="165">
        <f t="shared" si="16"/>
        <v>-1.7505470459518668</v>
      </c>
      <c r="E42" s="165">
        <f t="shared" si="17"/>
        <v>-2.00518346746692</v>
      </c>
      <c r="F42" s="226">
        <f t="shared" si="14"/>
        <v>9.1130012150668414</v>
      </c>
      <c r="G42" s="185">
        <f t="shared" si="15"/>
        <v>24.075993091537139</v>
      </c>
      <c r="H42" s="174">
        <f>+B$211/B42</f>
        <v>1.8786191536748327</v>
      </c>
    </row>
    <row r="43" spans="1:8" ht="15" hidden="1">
      <c r="A43" s="222" t="s">
        <v>148</v>
      </c>
      <c r="B43" s="173">
        <f>[2]Diesel_S500!$C154</f>
        <v>1.8360000000000001</v>
      </c>
      <c r="C43" s="165">
        <f t="shared" si="0"/>
        <v>135.4581673306773</v>
      </c>
      <c r="D43" s="165">
        <f t="shared" si="16"/>
        <v>2.2271714922049046</v>
      </c>
      <c r="E43" s="165">
        <f t="shared" si="17"/>
        <v>0.17732915018415785</v>
      </c>
      <c r="F43" s="226">
        <f t="shared" si="14"/>
        <v>1.1625984902749575</v>
      </c>
      <c r="G43" s="185">
        <f t="shared" si="15"/>
        <v>27.438050947456105</v>
      </c>
      <c r="H43" s="174">
        <f>+B$211/B43</f>
        <v>1.8376906318082786</v>
      </c>
    </row>
    <row r="44" spans="1:8" ht="15" hidden="1">
      <c r="A44" s="222" t="s">
        <v>149</v>
      </c>
      <c r="B44" s="173">
        <f>[2]Diesel_S500!$C155</f>
        <v>1.8362000000000003</v>
      </c>
      <c r="C44" s="165">
        <f t="shared" si="0"/>
        <v>135.47292312232554</v>
      </c>
      <c r="D44" s="165">
        <f t="shared" si="16"/>
        <v>1.0893246187371197E-2</v>
      </c>
      <c r="E44" s="165">
        <f t="shared" si="17"/>
        <v>0.18824171327240791</v>
      </c>
      <c r="F44" s="226">
        <f t="shared" ref="F44:F49" si="18">(100*(B44/B32-1))</f>
        <v>-0.20652173913042748</v>
      </c>
      <c r="G44" s="185">
        <f t="shared" ref="G44:G49" si="19">100*(B44/B20-1)</f>
        <v>20.556759241021627</v>
      </c>
      <c r="H44" s="174">
        <f>+B$211/B44</f>
        <v>1.8374904694477721</v>
      </c>
    </row>
    <row r="45" spans="1:8" ht="15" hidden="1">
      <c r="A45" s="222" t="s">
        <v>150</v>
      </c>
      <c r="B45" s="173">
        <f>[2]Diesel_S500!$C156</f>
        <v>1.8080000000000001</v>
      </c>
      <c r="C45" s="165">
        <f t="shared" si="0"/>
        <v>133.39235649992622</v>
      </c>
      <c r="D45" s="165">
        <f t="shared" ref="D45:D50" si="20">100*(B45/B44-1)</f>
        <v>-1.535780416076693</v>
      </c>
      <c r="E45" s="165">
        <f t="shared" si="17"/>
        <v>-1.3504296821716055</v>
      </c>
      <c r="F45" s="226">
        <f t="shared" si="18"/>
        <v>-1.2021857923497303</v>
      </c>
      <c r="G45" s="185">
        <f t="shared" si="19"/>
        <v>18.487450029490795</v>
      </c>
      <c r="H45" s="174">
        <f>+B$211/B45</f>
        <v>1.8661504424778759</v>
      </c>
    </row>
    <row r="46" spans="1:8" ht="15" hidden="1">
      <c r="A46" s="222" t="s">
        <v>151</v>
      </c>
      <c r="B46" s="173">
        <f>[2]Diesel_S500!$C157</f>
        <v>1.8180000000000001</v>
      </c>
      <c r="C46" s="165">
        <f t="shared" si="0"/>
        <v>134.13014608233732</v>
      </c>
      <c r="D46" s="165">
        <f t="shared" si="20"/>
        <v>0.5530973451327359</v>
      </c>
      <c r="E46" s="165">
        <f t="shared" si="17"/>
        <v>-0.80480152775883607</v>
      </c>
      <c r="F46" s="226">
        <f t="shared" si="18"/>
        <v>-0.80480152775883607</v>
      </c>
      <c r="G46" s="185">
        <f t="shared" si="19"/>
        <v>11.083954539899787</v>
      </c>
      <c r="H46" s="174">
        <f>+B$211/B46</f>
        <v>1.8558855885588557</v>
      </c>
    </row>
    <row r="47" spans="1:8" ht="15" hidden="1">
      <c r="A47" s="222" t="s">
        <v>152</v>
      </c>
      <c r="B47" s="173">
        <f>[2]Diesel_S500!$C158</f>
        <v>1.8240000000000001</v>
      </c>
      <c r="C47" s="165">
        <f t="shared" si="0"/>
        <v>134.57281983178399</v>
      </c>
      <c r="D47" s="165">
        <f t="shared" si="20"/>
        <v>0.33003300330032292</v>
      </c>
      <c r="E47" s="165">
        <f t="shared" ref="E47:E52" si="21">100*(B47/B$46-1)</f>
        <v>0.33003300330032292</v>
      </c>
      <c r="F47" s="226">
        <f t="shared" si="18"/>
        <v>-0.65359477124182774</v>
      </c>
      <c r="G47" s="185">
        <f t="shared" si="19"/>
        <v>11.49144254278729</v>
      </c>
      <c r="H47" s="174">
        <f>+B$211/B47</f>
        <v>1.8497807017543857</v>
      </c>
    </row>
    <row r="48" spans="1:8" ht="15" hidden="1">
      <c r="A48" s="222" t="s">
        <v>153</v>
      </c>
      <c r="B48" s="173">
        <f>[2]Diesel_S500!$C159</f>
        <v>1.8220000000000001</v>
      </c>
      <c r="C48" s="165">
        <f t="shared" si="0"/>
        <v>134.42526191530177</v>
      </c>
      <c r="D48" s="165">
        <f t="shared" si="20"/>
        <v>-0.10964912280702066</v>
      </c>
      <c r="E48" s="165">
        <f t="shared" si="21"/>
        <v>0.22002200220021528</v>
      </c>
      <c r="F48" s="226">
        <f t="shared" si="18"/>
        <v>-0.8165487207403288</v>
      </c>
      <c r="G48" s="185">
        <f t="shared" si="19"/>
        <v>11.104335630221374</v>
      </c>
      <c r="H48" s="174">
        <f>+B$211/B48</f>
        <v>1.8518111964873762</v>
      </c>
    </row>
    <row r="49" spans="1:9" ht="15" hidden="1">
      <c r="A49" s="222" t="s">
        <v>154</v>
      </c>
      <c r="B49" s="173">
        <f>[2]Diesel_S500!$C160</f>
        <v>1.8280000000000001</v>
      </c>
      <c r="C49" s="165">
        <f t="shared" si="0"/>
        <v>134.86793566474842</v>
      </c>
      <c r="D49" s="165">
        <f t="shared" si="20"/>
        <v>0.3293084522502765</v>
      </c>
      <c r="E49" s="165">
        <f t="shared" si="21"/>
        <v>0.55005500550056041</v>
      </c>
      <c r="F49" s="226">
        <f t="shared" si="18"/>
        <v>0.21929824561404132</v>
      </c>
      <c r="G49" s="185">
        <f t="shared" si="19"/>
        <v>11.259890444309196</v>
      </c>
      <c r="H49" s="174">
        <f>+B$211/B49</f>
        <v>1.845733041575492</v>
      </c>
    </row>
    <row r="50" spans="1:9" ht="15" hidden="1">
      <c r="A50" s="222" t="s">
        <v>155</v>
      </c>
      <c r="B50" s="173">
        <f>[2]Diesel_S500!$C161</f>
        <v>1.8420000000000001</v>
      </c>
      <c r="C50" s="165">
        <f t="shared" si="0"/>
        <v>135.90084108012397</v>
      </c>
      <c r="D50" s="183">
        <f t="shared" si="20"/>
        <v>0.76586433260394937</v>
      </c>
      <c r="E50" s="183">
        <f t="shared" si="21"/>
        <v>1.3201320132013139</v>
      </c>
      <c r="F50" s="184">
        <f t="shared" ref="F50:F64" si="22">(100*(B50/B38-1))</f>
        <v>1.1532125205930832</v>
      </c>
      <c r="G50" s="185">
        <f t="shared" ref="G50:G77" si="23">100*(B50/B26-1)</f>
        <v>12.413035518125227</v>
      </c>
      <c r="H50" s="174">
        <f>+B$211/B50</f>
        <v>1.831704668838219</v>
      </c>
    </row>
    <row r="51" spans="1:9" ht="15" hidden="1">
      <c r="A51" s="222" t="s">
        <v>156</v>
      </c>
      <c r="B51" s="173">
        <f>[2]Diesel_S500!$C162</f>
        <v>1.835</v>
      </c>
      <c r="C51" s="165">
        <f t="shared" si="0"/>
        <v>135.38438837243618</v>
      </c>
      <c r="D51" s="183">
        <f>100*(B51/B50-1)</f>
        <v>-0.38002171552661279</v>
      </c>
      <c r="E51" s="183">
        <f t="shared" si="21"/>
        <v>0.93509350935092606</v>
      </c>
      <c r="F51" s="184">
        <f t="shared" si="22"/>
        <v>0.5479452054794498</v>
      </c>
      <c r="G51" s="185">
        <f t="shared" si="23"/>
        <v>10.748989075985271</v>
      </c>
      <c r="H51" s="174">
        <f>+B$211/B51</f>
        <v>1.8386920980926429</v>
      </c>
    </row>
    <row r="52" spans="1:9" ht="15" hidden="1">
      <c r="A52" s="222" t="s">
        <v>157</v>
      </c>
      <c r="B52" s="173">
        <f>[2]Diesel_S500!$C163</f>
        <v>1.8207100000000001</v>
      </c>
      <c r="C52" s="165">
        <f t="shared" si="0"/>
        <v>134.33008705917072</v>
      </c>
      <c r="D52" s="183">
        <f>100*(B52/B51-1)</f>
        <v>-0.77874659400544166</v>
      </c>
      <c r="E52" s="183">
        <f t="shared" si="21"/>
        <v>0.14906490649064796</v>
      </c>
      <c r="F52" s="184">
        <f t="shared" si="22"/>
        <v>1.8294183445190182</v>
      </c>
      <c r="G52" s="185">
        <f t="shared" si="23"/>
        <v>10.486680016991334</v>
      </c>
      <c r="H52" s="174">
        <f>+B$211/B52</f>
        <v>1.8531232321457012</v>
      </c>
    </row>
    <row r="53" spans="1:9" ht="15" hidden="1">
      <c r="A53" s="222" t="s">
        <v>158</v>
      </c>
      <c r="B53" s="173">
        <f>[2]Diesel_S500!$C164</f>
        <v>1.82213</v>
      </c>
      <c r="C53" s="165">
        <f t="shared" si="0"/>
        <v>134.4348531798731</v>
      </c>
      <c r="D53" s="183">
        <f>100*(B53/B52-1)</f>
        <v>7.799155274590408E-2</v>
      </c>
      <c r="E53" s="183">
        <f t="shared" ref="E53:E58" si="24">100*(B53/B$46-1)</f>
        <v>0.22717271727172861</v>
      </c>
      <c r="F53" s="184">
        <f t="shared" si="22"/>
        <v>-0.32111597374179235</v>
      </c>
      <c r="G53" s="185">
        <f t="shared" si="23"/>
        <v>10.231699939503924</v>
      </c>
      <c r="H53" s="174">
        <f>+B$211/B53</f>
        <v>1.8516790788802113</v>
      </c>
    </row>
    <row r="54" spans="1:9" ht="15" hidden="1">
      <c r="A54" s="222" t="s">
        <v>159</v>
      </c>
      <c r="B54" s="173">
        <f>[2]Diesel_S500!$C165</f>
        <v>1.81525</v>
      </c>
      <c r="C54" s="165">
        <f t="shared" si="0"/>
        <v>133.92725394717428</v>
      </c>
      <c r="D54" s="183">
        <f t="shared" ref="D54:D59" si="25">100*(B54/B53-1)</f>
        <v>-0.37758008484575223</v>
      </c>
      <c r="E54" s="183">
        <f t="shared" si="24"/>
        <v>-0.15126512651265633</v>
      </c>
      <c r="F54" s="184">
        <f t="shared" si="22"/>
        <v>1.0718262806236112</v>
      </c>
      <c r="G54" s="185">
        <f t="shared" si="23"/>
        <v>10.282503037667091</v>
      </c>
      <c r="H54" s="174">
        <f>+B$211/B54</f>
        <v>1.8586971491530091</v>
      </c>
    </row>
    <row r="55" spans="1:9" ht="14.25" hidden="1" customHeight="1">
      <c r="A55" s="222" t="s">
        <v>160</v>
      </c>
      <c r="B55" s="173">
        <f>[2]Diesel_S500!$C166</f>
        <v>1.8089999999999999</v>
      </c>
      <c r="C55" s="165">
        <f t="shared" si="0"/>
        <v>133.46613545816734</v>
      </c>
      <c r="D55" s="183">
        <f t="shared" si="25"/>
        <v>-0.34430519212230726</v>
      </c>
      <c r="E55" s="183">
        <f t="shared" si="24"/>
        <v>-0.49504950495050659</v>
      </c>
      <c r="F55" s="184">
        <f t="shared" si="22"/>
        <v>-1.4705882352941235</v>
      </c>
      <c r="G55" s="185">
        <f t="shared" si="23"/>
        <v>-0.3250867816408598</v>
      </c>
      <c r="H55" s="174">
        <f>+B$211/B55</f>
        <v>1.865118850193477</v>
      </c>
    </row>
    <row r="56" spans="1:9" ht="14.25" hidden="1" customHeight="1">
      <c r="A56" s="222" t="s">
        <v>161</v>
      </c>
      <c r="B56" s="173">
        <f>[2]Diesel_S500!$C167</f>
        <v>1.8146249999999995</v>
      </c>
      <c r="C56" s="165">
        <f t="shared" si="0"/>
        <v>133.88114209827353</v>
      </c>
      <c r="D56" s="183">
        <f t="shared" si="25"/>
        <v>0.31094527363182412</v>
      </c>
      <c r="E56" s="183">
        <f t="shared" si="24"/>
        <v>-0.18564356435646356</v>
      </c>
      <c r="F56" s="184">
        <f t="shared" si="22"/>
        <v>-1.1749809388955867</v>
      </c>
      <c r="G56" s="185">
        <f t="shared" si="23"/>
        <v>-1.3790760869565544</v>
      </c>
      <c r="H56" s="174">
        <f>+B$211/B56</f>
        <v>1.8593373286491703</v>
      </c>
    </row>
    <row r="57" spans="1:9" ht="14.25" hidden="1" customHeight="1">
      <c r="A57" s="222" t="s">
        <v>162</v>
      </c>
      <c r="B57" s="173">
        <f>[2]Diesel_S500!$C168</f>
        <v>1.8214999999999997</v>
      </c>
      <c r="C57" s="165">
        <f t="shared" si="0"/>
        <v>134.38837243618119</v>
      </c>
      <c r="D57" s="183">
        <f t="shared" si="25"/>
        <v>0.37886615691948844</v>
      </c>
      <c r="E57" s="183">
        <f t="shared" si="24"/>
        <v>0.19251925192516062</v>
      </c>
      <c r="F57" s="184">
        <f t="shared" si="22"/>
        <v>0.74668141592917348</v>
      </c>
      <c r="G57" s="185">
        <f t="shared" si="23"/>
        <v>-0.46448087431696372</v>
      </c>
      <c r="H57" s="174">
        <f>+B$211/B57</f>
        <v>1.8523195168816911</v>
      </c>
    </row>
    <row r="58" spans="1:9" ht="14.25" hidden="1" customHeight="1">
      <c r="A58" s="222" t="s">
        <v>163</v>
      </c>
      <c r="B58" s="173">
        <f>[2]Diesel_S500!$C169</f>
        <v>1.8358750000000001</v>
      </c>
      <c r="C58" s="165">
        <f t="shared" si="0"/>
        <v>135.44894496089717</v>
      </c>
      <c r="D58" s="183">
        <f t="shared" si="25"/>
        <v>0.78918473785345444</v>
      </c>
      <c r="E58" s="183">
        <f t="shared" si="24"/>
        <v>0.98322332233222731</v>
      </c>
      <c r="F58" s="184">
        <f t="shared" si="22"/>
        <v>0.98322332233222731</v>
      </c>
      <c r="G58" s="185">
        <f t="shared" si="23"/>
        <v>0.17050879825399878</v>
      </c>
      <c r="H58" s="174">
        <f>+B$211/B58</f>
        <v>1.8378157554299717</v>
      </c>
    </row>
    <row r="59" spans="1:9" ht="14.25" hidden="1" customHeight="1">
      <c r="A59" s="222" t="s">
        <v>164</v>
      </c>
      <c r="B59" s="173">
        <f>[2]Diesel_S500!$C170</f>
        <v>1.875</v>
      </c>
      <c r="C59" s="165">
        <f t="shared" si="0"/>
        <v>138.33554670208056</v>
      </c>
      <c r="D59" s="183">
        <f t="shared" si="25"/>
        <v>2.1311363791107762</v>
      </c>
      <c r="E59" s="183">
        <f t="shared" ref="E59:E64" si="26">100*(B59/B$58-1)</f>
        <v>2.1311363791107762</v>
      </c>
      <c r="F59" s="184">
        <f t="shared" si="22"/>
        <v>2.796052631578938</v>
      </c>
      <c r="G59" s="185">
        <f t="shared" si="23"/>
        <v>2.1241830065359402</v>
      </c>
      <c r="H59" s="174">
        <f>+B$211/B59</f>
        <v>1.7994666666666665</v>
      </c>
    </row>
    <row r="60" spans="1:9" ht="14.25" hidden="1" customHeight="1">
      <c r="A60" s="222" t="s">
        <v>165</v>
      </c>
      <c r="B60" s="173">
        <f>[2]Diesel_S500!$C171</f>
        <v>1.8759999999999999</v>
      </c>
      <c r="C60" s="165">
        <f t="shared" si="0"/>
        <v>138.40932566032168</v>
      </c>
      <c r="D60" s="183">
        <f t="shared" ref="D60:D65" si="27">100*(B60/B59-1)</f>
        <v>5.333333333332746E-2</v>
      </c>
      <c r="E60" s="183">
        <f t="shared" si="26"/>
        <v>2.1856063185129671</v>
      </c>
      <c r="F60" s="184">
        <f t="shared" si="22"/>
        <v>2.9637760702524663</v>
      </c>
      <c r="G60" s="185">
        <f t="shared" si="23"/>
        <v>2.1230266739248771</v>
      </c>
      <c r="H60" s="174">
        <f>+B$211/B60</f>
        <v>1.7985074626865671</v>
      </c>
    </row>
    <row r="61" spans="1:9" ht="14.25" hidden="1" customHeight="1">
      <c r="A61" s="222" t="s">
        <v>166</v>
      </c>
      <c r="B61" s="173">
        <f>[2]Diesel_S500!$C172</f>
        <v>1.8769999999999996</v>
      </c>
      <c r="C61" s="165">
        <f t="shared" si="0"/>
        <v>138.48310461856278</v>
      </c>
      <c r="D61" s="183">
        <f t="shared" si="27"/>
        <v>5.3304904051154622E-2</v>
      </c>
      <c r="E61" s="183">
        <f t="shared" si="26"/>
        <v>2.2400762579151356</v>
      </c>
      <c r="F61" s="184">
        <f t="shared" si="22"/>
        <v>2.6805251641137673</v>
      </c>
      <c r="G61" s="185">
        <f t="shared" si="23"/>
        <v>2.9057017543859365</v>
      </c>
      <c r="H61" s="174">
        <f>+B$211/B61</f>
        <v>1.797549280767182</v>
      </c>
    </row>
    <row r="62" spans="1:9" ht="14.25" hidden="1" customHeight="1">
      <c r="A62" s="222" t="s">
        <v>167</v>
      </c>
      <c r="B62" s="173">
        <f>[2]Diesel_S500!$C173</f>
        <v>1.8779999999999999</v>
      </c>
      <c r="C62" s="165">
        <f t="shared" si="0"/>
        <v>138.5568835768039</v>
      </c>
      <c r="D62" s="183">
        <f t="shared" si="27"/>
        <v>5.3276505061283785E-2</v>
      </c>
      <c r="E62" s="183">
        <f t="shared" si="26"/>
        <v>2.2945461973173487</v>
      </c>
      <c r="F62" s="184">
        <f t="shared" si="22"/>
        <v>1.9543973941367865</v>
      </c>
      <c r="G62" s="185">
        <f t="shared" si="23"/>
        <v>3.13014827018121</v>
      </c>
      <c r="H62" s="174">
        <f>+B$211/B62</f>
        <v>1.7965921192758252</v>
      </c>
      <c r="I62" s="62" t="s">
        <v>24</v>
      </c>
    </row>
    <row r="63" spans="1:9" ht="14.25" hidden="1" customHeight="1">
      <c r="A63" s="222" t="s">
        <v>168</v>
      </c>
      <c r="B63" s="173">
        <f>[2]Diesel_S500!$C174</f>
        <v>2.0459999999999998</v>
      </c>
      <c r="C63" s="165">
        <f t="shared" si="0"/>
        <v>150.95174856131032</v>
      </c>
      <c r="D63" s="183">
        <f t="shared" si="27"/>
        <v>8.9456869009584707</v>
      </c>
      <c r="E63" s="183">
        <f t="shared" si="26"/>
        <v>11.44549601688567</v>
      </c>
      <c r="F63" s="184">
        <f t="shared" si="22"/>
        <v>11.498637602179841</v>
      </c>
      <c r="G63" s="185">
        <f t="shared" si="23"/>
        <v>12.109589041095891</v>
      </c>
      <c r="H63" s="174">
        <f>+B$211/B63</f>
        <v>1.6490713587487782</v>
      </c>
    </row>
    <row r="64" spans="1:9" ht="14.25" hidden="1" customHeight="1">
      <c r="A64" s="222" t="s">
        <v>169</v>
      </c>
      <c r="B64" s="173">
        <f>[2]Diesel_S500!$C175</f>
        <v>2.052</v>
      </c>
      <c r="C64" s="165">
        <f t="shared" si="0"/>
        <v>151.39442231075699</v>
      </c>
      <c r="D64" s="183">
        <f t="shared" si="27"/>
        <v>0.29325513196483133</v>
      </c>
      <c r="E64" s="183">
        <f t="shared" si="26"/>
        <v>11.772315653298836</v>
      </c>
      <c r="F64" s="184">
        <f t="shared" si="22"/>
        <v>12.703286080704789</v>
      </c>
      <c r="G64" s="185">
        <f t="shared" si="23"/>
        <v>14.76510067114094</v>
      </c>
      <c r="H64" s="174">
        <f>+B$211/B64</f>
        <v>1.6442495126705652</v>
      </c>
    </row>
    <row r="65" spans="1:9" ht="14.25" hidden="1" customHeight="1">
      <c r="A65" s="222" t="s">
        <v>170</v>
      </c>
      <c r="B65" s="173">
        <f>[2]Diesel_S500!$C176</f>
        <v>2.1</v>
      </c>
      <c r="C65" s="165">
        <f t="shared" si="0"/>
        <v>154.93581230633023</v>
      </c>
      <c r="D65" s="183">
        <f t="shared" si="27"/>
        <v>2.3391812865497075</v>
      </c>
      <c r="E65" s="183">
        <f t="shared" ref="E65:E70" si="28">100*(B65/B$58-1)</f>
        <v>14.386872744604062</v>
      </c>
      <c r="F65" s="184">
        <f t="shared" ref="F65:F70" si="29">(100*(B65/B53-1))</f>
        <v>15.249735200013181</v>
      </c>
      <c r="G65" s="185">
        <f t="shared" si="23"/>
        <v>14.879649890590807</v>
      </c>
      <c r="H65" s="174">
        <f>+B$211/B65</f>
        <v>1.6066666666666665</v>
      </c>
    </row>
    <row r="66" spans="1:9" ht="14.25" hidden="1" customHeight="1">
      <c r="A66" s="222" t="s">
        <v>171</v>
      </c>
      <c r="B66" s="173">
        <f>[2]Diesel_S500!$C177</f>
        <v>2.1030000000000002</v>
      </c>
      <c r="C66" s="165">
        <f t="shared" si="0"/>
        <v>155.15714918105357</v>
      </c>
      <c r="D66" s="183">
        <f t="shared" ref="D66:D71" si="30">100*(B66/B65-1)</f>
        <v>0.14285714285715567</v>
      </c>
      <c r="E66" s="183">
        <f t="shared" si="28"/>
        <v>14.550282562810658</v>
      </c>
      <c r="F66" s="184">
        <f t="shared" si="29"/>
        <v>15.851811045310571</v>
      </c>
      <c r="G66" s="185">
        <f t="shared" si="23"/>
        <v>17.093541202672611</v>
      </c>
      <c r="H66" s="174">
        <f>+B$211/B66</f>
        <v>1.6043747028055155</v>
      </c>
    </row>
    <row r="67" spans="1:9" ht="14.25" hidden="1" customHeight="1">
      <c r="A67" s="222" t="s">
        <v>172</v>
      </c>
      <c r="B67" s="173">
        <f>[2]Diesel_S500!$C178</f>
        <v>2.105</v>
      </c>
      <c r="C67" s="165">
        <f t="shared" si="0"/>
        <v>155.30470709753578</v>
      </c>
      <c r="D67" s="183">
        <f t="shared" si="30"/>
        <v>9.5102234902499916E-2</v>
      </c>
      <c r="E67" s="183">
        <f t="shared" si="28"/>
        <v>14.659222441615016</v>
      </c>
      <c r="F67" s="184">
        <f t="shared" si="29"/>
        <v>16.362631288004415</v>
      </c>
      <c r="G67" s="185">
        <f t="shared" si="23"/>
        <v>14.651416122004356</v>
      </c>
      <c r="H67" s="174">
        <f>+B$211/B67</f>
        <v>1.6028503562945366</v>
      </c>
    </row>
    <row r="68" spans="1:9" ht="14.25" hidden="1" customHeight="1">
      <c r="A68" s="222" t="s">
        <v>173</v>
      </c>
      <c r="B68" s="173">
        <f>[2]Diesel_S500!$C179</f>
        <v>2.1059999999999999</v>
      </c>
      <c r="C68" s="165">
        <f t="shared" si="0"/>
        <v>155.3784860557769</v>
      </c>
      <c r="D68" s="183">
        <f t="shared" si="30"/>
        <v>4.7505938242276002E-2</v>
      </c>
      <c r="E68" s="183">
        <f t="shared" si="28"/>
        <v>14.713692381017207</v>
      </c>
      <c r="F68" s="184">
        <f t="shared" si="29"/>
        <v>16.057036577805349</v>
      </c>
      <c r="G68" s="185">
        <f t="shared" si="23"/>
        <v>14.693388519769069</v>
      </c>
      <c r="H68" s="174">
        <f>+B$211/B68</f>
        <v>1.6020892687559354</v>
      </c>
    </row>
    <row r="69" spans="1:9" ht="14.25" hidden="1" customHeight="1">
      <c r="A69" s="222" t="s">
        <v>174</v>
      </c>
      <c r="B69" s="173">
        <f>[2]Diesel_S500!$C180</f>
        <v>2.1080000000000001</v>
      </c>
      <c r="C69" s="165">
        <f t="shared" si="0"/>
        <v>155.52604397225912</v>
      </c>
      <c r="D69" s="183">
        <f t="shared" si="30"/>
        <v>9.496676163343043E-2</v>
      </c>
      <c r="E69" s="183">
        <f t="shared" si="28"/>
        <v>14.82263225982161</v>
      </c>
      <c r="F69" s="184">
        <f t="shared" si="29"/>
        <v>15.728794949217706</v>
      </c>
      <c r="G69" s="185">
        <f t="shared" si="23"/>
        <v>16.592920353982301</v>
      </c>
      <c r="H69" s="174">
        <f>+B$211/B69</f>
        <v>1.6005692599620491</v>
      </c>
    </row>
    <row r="70" spans="1:9" ht="14.25" hidden="1" customHeight="1">
      <c r="A70" s="222" t="s">
        <v>175</v>
      </c>
      <c r="B70" s="173">
        <f>[2]Diesel_S500!$C181</f>
        <v>2.1080000000000001</v>
      </c>
      <c r="C70" s="165">
        <f t="shared" si="0"/>
        <v>155.52604397225912</v>
      </c>
      <c r="D70" s="183">
        <f t="shared" si="30"/>
        <v>0</v>
      </c>
      <c r="E70" s="183">
        <f t="shared" si="28"/>
        <v>14.82263225982161</v>
      </c>
      <c r="F70" s="184">
        <f t="shared" si="29"/>
        <v>14.82263225982161</v>
      </c>
      <c r="G70" s="185">
        <f t="shared" si="23"/>
        <v>15.951595159515964</v>
      </c>
      <c r="H70" s="174">
        <f>+B$211/B70</f>
        <v>1.6005692599620491</v>
      </c>
    </row>
    <row r="71" spans="1:9" ht="14.25" hidden="1" customHeight="1">
      <c r="A71" s="222" t="s">
        <v>176</v>
      </c>
      <c r="B71" s="173">
        <f>[2]Diesel_S500!$C182</f>
        <v>2.1080000000000001</v>
      </c>
      <c r="C71" s="165">
        <f t="shared" si="0"/>
        <v>155.52604397225912</v>
      </c>
      <c r="D71" s="183">
        <f t="shared" si="30"/>
        <v>0</v>
      </c>
      <c r="E71" s="183">
        <f t="shared" ref="E71:E76" si="31">100*(B71/B$70-1)</f>
        <v>0</v>
      </c>
      <c r="F71" s="184">
        <f t="shared" ref="F71:F76" si="32">(100*(B71/B59-1))</f>
        <v>12.426666666666675</v>
      </c>
      <c r="G71" s="185">
        <f t="shared" si="23"/>
        <v>15.57017543859649</v>
      </c>
      <c r="H71" s="174">
        <f>+B$211/B71</f>
        <v>1.6005692599620491</v>
      </c>
    </row>
    <row r="72" spans="1:9" ht="14.25" hidden="1" customHeight="1">
      <c r="A72" s="222" t="s">
        <v>177</v>
      </c>
      <c r="B72" s="173">
        <f>[2]Diesel_S500!$C183</f>
        <v>2.1080000000000001</v>
      </c>
      <c r="C72" s="165">
        <f t="shared" si="0"/>
        <v>155.52604397225912</v>
      </c>
      <c r="D72" s="183">
        <f t="shared" ref="D72:D77" si="33">100*(B72/B71-1)</f>
        <v>0</v>
      </c>
      <c r="E72" s="183">
        <f t="shared" si="31"/>
        <v>0</v>
      </c>
      <c r="F72" s="184">
        <f t="shared" si="32"/>
        <v>12.366737739872068</v>
      </c>
      <c r="G72" s="185">
        <f t="shared" si="23"/>
        <v>15.69703622392975</v>
      </c>
      <c r="H72" s="174">
        <f>+B$211/B72</f>
        <v>1.6005692599620491</v>
      </c>
    </row>
    <row r="73" spans="1:9" ht="14.25" hidden="1" customHeight="1">
      <c r="A73" s="222" t="s">
        <v>178</v>
      </c>
      <c r="B73" s="173">
        <f>[2]Diesel_S500!$C184</f>
        <v>2.1070000000000002</v>
      </c>
      <c r="C73" s="165">
        <f t="shared" si="0"/>
        <v>155.45226501401802</v>
      </c>
      <c r="D73" s="183">
        <f t="shared" si="33"/>
        <v>-4.743833017076815E-2</v>
      </c>
      <c r="E73" s="183">
        <f t="shared" si="31"/>
        <v>-4.743833017076815E-2</v>
      </c>
      <c r="F73" s="184">
        <f t="shared" si="32"/>
        <v>12.253596164091674</v>
      </c>
      <c r="G73" s="185">
        <f t="shared" si="23"/>
        <v>15.262582056892793</v>
      </c>
      <c r="H73" s="174">
        <f>+B$211/B73</f>
        <v>1.6013289036544847</v>
      </c>
    </row>
    <row r="74" spans="1:9" ht="14.25" hidden="1" customHeight="1">
      <c r="A74" s="222" t="s">
        <v>179</v>
      </c>
      <c r="B74" s="173">
        <f>[2]Diesel_S500!$C185</f>
        <v>2.1070000000000002</v>
      </c>
      <c r="C74" s="165">
        <f t="shared" si="0"/>
        <v>155.45226501401802</v>
      </c>
      <c r="D74" s="183">
        <f t="shared" si="33"/>
        <v>0</v>
      </c>
      <c r="E74" s="183">
        <f t="shared" si="31"/>
        <v>-4.743833017076815E-2</v>
      </c>
      <c r="F74" s="184">
        <f t="shared" si="32"/>
        <v>12.19382321618745</v>
      </c>
      <c r="G74" s="185">
        <f t="shared" si="23"/>
        <v>14.386536373507063</v>
      </c>
      <c r="H74" s="174">
        <f>+B$211/B74</f>
        <v>1.6013289036544847</v>
      </c>
    </row>
    <row r="75" spans="1:9" ht="14.25" hidden="1" customHeight="1">
      <c r="A75" s="222" t="s">
        <v>180</v>
      </c>
      <c r="B75" s="173">
        <f>[2]Diesel_S500!$C186</f>
        <v>2.1059999999999999</v>
      </c>
      <c r="C75" s="165">
        <f t="shared" si="0"/>
        <v>155.3784860557769</v>
      </c>
      <c r="D75" s="183">
        <f t="shared" si="33"/>
        <v>-4.7460844803048907E-2</v>
      </c>
      <c r="E75" s="183">
        <f t="shared" si="31"/>
        <v>-9.4876660341569607E-2</v>
      </c>
      <c r="F75" s="184">
        <f t="shared" si="32"/>
        <v>2.9325513196480912</v>
      </c>
      <c r="G75" s="185">
        <f t="shared" si="23"/>
        <v>14.768392370572192</v>
      </c>
      <c r="H75" s="174">
        <f>+B$211/B75</f>
        <v>1.6020892687559354</v>
      </c>
    </row>
    <row r="76" spans="1:9" ht="14.25" hidden="1" customHeight="1">
      <c r="A76" s="222" t="s">
        <v>181</v>
      </c>
      <c r="B76" s="173">
        <f>[2]Diesel_S500!$C187</f>
        <v>2.0219999999999998</v>
      </c>
      <c r="C76" s="165">
        <f t="shared" si="0"/>
        <v>149.18105356352368</v>
      </c>
      <c r="D76" s="183">
        <f t="shared" si="33"/>
        <v>-3.9886039886039892</v>
      </c>
      <c r="E76" s="183">
        <f t="shared" si="31"/>
        <v>-4.0796963946869162</v>
      </c>
      <c r="F76" s="184">
        <f t="shared" si="32"/>
        <v>-1.4619883040935755</v>
      </c>
      <c r="G76" s="185">
        <f t="shared" si="23"/>
        <v>11.055577219875756</v>
      </c>
      <c r="H76" s="174">
        <f>+B$211/B76</f>
        <v>1.6686449060336301</v>
      </c>
      <c r="I76" s="62" t="s">
        <v>25</v>
      </c>
    </row>
    <row r="77" spans="1:9" ht="14.25" hidden="1" customHeight="1">
      <c r="A77" s="222" t="s">
        <v>182</v>
      </c>
      <c r="B77" s="173">
        <f>[2]Diesel_S500!$C188</f>
        <v>1.9970000000000001</v>
      </c>
      <c r="C77" s="165">
        <f t="shared" si="0"/>
        <v>147.33657960749596</v>
      </c>
      <c r="D77" s="183">
        <f t="shared" si="33"/>
        <v>-1.2363996043521119</v>
      </c>
      <c r="E77" s="183">
        <f t="shared" ref="E77:E82" si="34">100*(B77/B$70-1)</f>
        <v>-5.2656546489563532</v>
      </c>
      <c r="F77" s="184">
        <f t="shared" ref="F77:F82" si="35">(100*(B77/B65-1))</f>
        <v>-4.9047619047619007</v>
      </c>
      <c r="G77" s="185">
        <f t="shared" si="23"/>
        <v>9.5970100925839574</v>
      </c>
      <c r="H77" s="174">
        <f>+B$211/B77</f>
        <v>1.689534301452178</v>
      </c>
    </row>
    <row r="78" spans="1:9" ht="14.25" hidden="1" customHeight="1">
      <c r="A78" s="222" t="s">
        <v>183</v>
      </c>
      <c r="B78" s="173">
        <f>[2]Diesel_S500!$C189</f>
        <v>1.9929999999999994</v>
      </c>
      <c r="C78" s="165">
        <f t="shared" si="0"/>
        <v>147.04146377453148</v>
      </c>
      <c r="D78" s="183">
        <f t="shared" ref="D78:D83" si="36">100*(B78/B77-1)</f>
        <v>-0.20030045067604973</v>
      </c>
      <c r="E78" s="183">
        <f t="shared" si="34"/>
        <v>-5.455407969639503</v>
      </c>
      <c r="F78" s="184">
        <f t="shared" si="35"/>
        <v>-5.23062291963865</v>
      </c>
      <c r="G78" s="185">
        <f t="shared" ref="G78:G100" si="37">100*(B78/B54-1)</f>
        <v>9.7920396639580964</v>
      </c>
      <c r="H78" s="174">
        <f>+B$211/B78</f>
        <v>1.69292523833417</v>
      </c>
    </row>
    <row r="79" spans="1:9" ht="14.25" hidden="1" customHeight="1">
      <c r="A79" s="222" t="s">
        <v>184</v>
      </c>
      <c r="B79" s="173">
        <f>[2]Diesel_S500!$C190</f>
        <v>1.9830000000000001</v>
      </c>
      <c r="C79" s="165">
        <f t="shared" si="0"/>
        <v>146.30367419212041</v>
      </c>
      <c r="D79" s="183">
        <f t="shared" si="36"/>
        <v>-0.50175614651276623</v>
      </c>
      <c r="E79" s="183">
        <f t="shared" si="34"/>
        <v>-5.9297912713472511</v>
      </c>
      <c r="F79" s="184">
        <f t="shared" si="35"/>
        <v>-5.7957244655581945</v>
      </c>
      <c r="G79" s="185">
        <f t="shared" si="37"/>
        <v>9.6185737976782768</v>
      </c>
      <c r="H79" s="174">
        <f>+B$211/B79</f>
        <v>1.701462430660615</v>
      </c>
    </row>
    <row r="80" spans="1:9" ht="14.25" hidden="1" customHeight="1">
      <c r="A80" s="222" t="s">
        <v>185</v>
      </c>
      <c r="B80" s="173">
        <f>[2]Diesel_S500!$C191</f>
        <v>1.974</v>
      </c>
      <c r="C80" s="165">
        <f t="shared" si="0"/>
        <v>145.63966356795044</v>
      </c>
      <c r="D80" s="183">
        <f t="shared" si="36"/>
        <v>-0.45385779122542047</v>
      </c>
      <c r="E80" s="183">
        <f t="shared" si="34"/>
        <v>-6.3567362428842529</v>
      </c>
      <c r="F80" s="184">
        <f t="shared" si="35"/>
        <v>-6.2678062678062645</v>
      </c>
      <c r="G80" s="185">
        <f t="shared" si="37"/>
        <v>8.7828063649514565</v>
      </c>
      <c r="H80" s="174">
        <f>+B$211/B80</f>
        <v>1.7092198581560283</v>
      </c>
    </row>
    <row r="81" spans="1:8" ht="14.25" hidden="1" customHeight="1">
      <c r="A81" s="222" t="s">
        <v>186</v>
      </c>
      <c r="B81" s="173">
        <f>[2]Diesel_S500!$C192</f>
        <v>1.9780000000000006</v>
      </c>
      <c r="C81" s="165">
        <f t="shared" si="0"/>
        <v>145.93477940091492</v>
      </c>
      <c r="D81" s="183">
        <f t="shared" si="36"/>
        <v>0.20263424518747186</v>
      </c>
      <c r="E81" s="183">
        <f t="shared" si="34"/>
        <v>-6.1669829222011145</v>
      </c>
      <c r="F81" s="184">
        <f t="shared" si="35"/>
        <v>-6.1669829222011145</v>
      </c>
      <c r="G81" s="185">
        <f t="shared" si="37"/>
        <v>8.5918199286302954</v>
      </c>
      <c r="H81" s="174">
        <f>+B$211/B81</f>
        <v>1.7057633973710811</v>
      </c>
    </row>
    <row r="82" spans="1:8" ht="14.25" hidden="1" customHeight="1">
      <c r="A82" s="222" t="s">
        <v>187</v>
      </c>
      <c r="B82" s="173">
        <f>[2]Diesel_S500!$C193</f>
        <v>1.9790000000000001</v>
      </c>
      <c r="C82" s="165">
        <f t="shared" si="0"/>
        <v>146.00855835915598</v>
      </c>
      <c r="D82" s="183">
        <f t="shared" si="36"/>
        <v>5.0556117290168068E-2</v>
      </c>
      <c r="E82" s="183">
        <f t="shared" si="34"/>
        <v>-6.1195445920303566</v>
      </c>
      <c r="F82" s="184">
        <f t="shared" si="35"/>
        <v>-6.1195445920303566</v>
      </c>
      <c r="G82" s="185">
        <f t="shared" si="37"/>
        <v>7.7960100769387752</v>
      </c>
      <c r="H82" s="174">
        <f>+B$211/B82</f>
        <v>1.7049014653865586</v>
      </c>
    </row>
    <row r="83" spans="1:8" ht="14.25" hidden="1" customHeight="1">
      <c r="A83" s="222" t="s">
        <v>188</v>
      </c>
      <c r="B83" s="173">
        <f>[2]Diesel_S500!$C194</f>
        <v>1.986</v>
      </c>
      <c r="C83" s="165">
        <f t="shared" si="0"/>
        <v>146.52501106684375</v>
      </c>
      <c r="D83" s="183">
        <f t="shared" si="36"/>
        <v>0.35371399696815242</v>
      </c>
      <c r="E83" s="183">
        <f t="shared" ref="E83:E88" si="38">100*(B83/B$82-1)</f>
        <v>0.35371399696815242</v>
      </c>
      <c r="F83" s="184">
        <f t="shared" ref="F83:F88" si="39">(100*(B83/B71-1))</f>
        <v>-5.7874762808349249</v>
      </c>
      <c r="G83" s="185">
        <f t="shared" si="37"/>
        <v>5.9199999999999919</v>
      </c>
      <c r="H83" s="174">
        <f>+B$211/B83</f>
        <v>1.6988922457200402</v>
      </c>
    </row>
    <row r="84" spans="1:8" ht="14.25" hidden="1" customHeight="1">
      <c r="A84" s="222" t="s">
        <v>189</v>
      </c>
      <c r="B84" s="173">
        <f>[2]Diesel_S500!$C195</f>
        <v>1.9910000000000001</v>
      </c>
      <c r="C84" s="165">
        <f t="shared" si="0"/>
        <v>146.89390585804929</v>
      </c>
      <c r="D84" s="183">
        <f t="shared" ref="D84:D89" si="40">100*(B84/B83-1)</f>
        <v>0.25176233635448853</v>
      </c>
      <c r="E84" s="183">
        <f t="shared" si="38"/>
        <v>0.60636685194541684</v>
      </c>
      <c r="F84" s="184">
        <f t="shared" si="39"/>
        <v>-5.5502846299810287</v>
      </c>
      <c r="G84" s="185">
        <f t="shared" si="37"/>
        <v>6.1300639658848688</v>
      </c>
      <c r="H84" s="174">
        <f>+B$211/B84</f>
        <v>1.6946258161727772</v>
      </c>
    </row>
    <row r="85" spans="1:8" ht="14.25" hidden="1" customHeight="1">
      <c r="A85" s="222" t="s">
        <v>190</v>
      </c>
      <c r="B85" s="173">
        <f>[2]Diesel_S500!$C196</f>
        <v>1.9890000000000003</v>
      </c>
      <c r="C85" s="165">
        <f t="shared" si="0"/>
        <v>146.74634794156711</v>
      </c>
      <c r="D85" s="183">
        <f t="shared" si="40"/>
        <v>-0.10045203415367521</v>
      </c>
      <c r="E85" s="183">
        <f t="shared" si="38"/>
        <v>0.50530570995452884</v>
      </c>
      <c r="F85" s="184">
        <f t="shared" si="39"/>
        <v>-5.6003796867584166</v>
      </c>
      <c r="G85" s="185">
        <f t="shared" si="37"/>
        <v>5.966968566862052</v>
      </c>
      <c r="H85" s="174">
        <f>+B$211/B85</f>
        <v>1.6963298139768723</v>
      </c>
    </row>
    <row r="86" spans="1:8" ht="14.25" hidden="1" customHeight="1">
      <c r="A86" s="222" t="s">
        <v>191</v>
      </c>
      <c r="B86" s="173">
        <f>[2]Diesel_S500!$C197</f>
        <v>1.988</v>
      </c>
      <c r="C86" s="165">
        <f t="shared" si="0"/>
        <v>146.67256898332596</v>
      </c>
      <c r="D86" s="183">
        <f t="shared" si="40"/>
        <v>-5.0276520864778185E-2</v>
      </c>
      <c r="E86" s="183">
        <f t="shared" si="38"/>
        <v>0.45477513895906263</v>
      </c>
      <c r="F86" s="184">
        <f t="shared" si="39"/>
        <v>-5.6478405315614761</v>
      </c>
      <c r="G86" s="185">
        <f t="shared" si="37"/>
        <v>5.8572949946751995</v>
      </c>
      <c r="H86" s="174">
        <f>+B$211/B86</f>
        <v>1.697183098591549</v>
      </c>
    </row>
    <row r="87" spans="1:8" ht="14.25" hidden="1" customHeight="1">
      <c r="A87" s="222" t="s">
        <v>192</v>
      </c>
      <c r="B87" s="173">
        <f>[2]Diesel_S500!$C198</f>
        <v>1.9860000000000002</v>
      </c>
      <c r="C87" s="165">
        <f t="shared" si="0"/>
        <v>146.52501106684375</v>
      </c>
      <c r="D87" s="183">
        <f t="shared" si="40"/>
        <v>-0.1006036217303663</v>
      </c>
      <c r="E87" s="183">
        <f t="shared" si="38"/>
        <v>0.35371399696817463</v>
      </c>
      <c r="F87" s="184">
        <f t="shared" si="39"/>
        <v>-5.6980056980056819</v>
      </c>
      <c r="G87" s="185">
        <f t="shared" si="37"/>
        <v>-2.9325513196480801</v>
      </c>
      <c r="H87" s="174">
        <f>+B$211/B87</f>
        <v>1.6988922457200399</v>
      </c>
    </row>
    <row r="88" spans="1:8" ht="14.25" hidden="1" customHeight="1">
      <c r="A88" s="222" t="s">
        <v>193</v>
      </c>
      <c r="B88" s="173">
        <f>[2]Diesel_S500!$C199</f>
        <v>1.9830000000000003</v>
      </c>
      <c r="C88" s="165">
        <f t="shared" si="0"/>
        <v>146.30367419212044</v>
      </c>
      <c r="D88" s="183">
        <f t="shared" si="40"/>
        <v>-0.15105740181268201</v>
      </c>
      <c r="E88" s="183">
        <f t="shared" si="38"/>
        <v>0.20212228398182042</v>
      </c>
      <c r="F88" s="184">
        <f t="shared" si="39"/>
        <v>-1.9287833827892897</v>
      </c>
      <c r="G88" s="185">
        <f t="shared" si="37"/>
        <v>-3.3625730994151892</v>
      </c>
      <c r="H88" s="174">
        <f>+B$211/B88</f>
        <v>1.7014624306606148</v>
      </c>
    </row>
    <row r="89" spans="1:8" ht="14.25" hidden="1" customHeight="1">
      <c r="A89" s="222" t="s">
        <v>194</v>
      </c>
      <c r="B89" s="173">
        <f>[2]Diesel_S500!$C200</f>
        <v>1.9830000000000001</v>
      </c>
      <c r="C89" s="165">
        <f t="shared" si="0"/>
        <v>146.30367419212041</v>
      </c>
      <c r="D89" s="183">
        <f t="shared" si="40"/>
        <v>-1.1102230246251565E-14</v>
      </c>
      <c r="E89" s="183">
        <f t="shared" ref="E89:E94" si="41">100*(B89/B$82-1)</f>
        <v>0.20212228398179821</v>
      </c>
      <c r="F89" s="184">
        <f t="shared" ref="F89:F100" si="42">(100*(B89/B77-1))</f>
        <v>-0.70105157736605195</v>
      </c>
      <c r="G89" s="185">
        <f t="shared" si="37"/>
        <v>-5.5714285714285712</v>
      </c>
      <c r="H89" s="174">
        <f>+B$211/B89</f>
        <v>1.701462430660615</v>
      </c>
    </row>
    <row r="90" spans="1:8" ht="14.25" hidden="1" customHeight="1">
      <c r="A90" s="222" t="s">
        <v>195</v>
      </c>
      <c r="B90" s="173">
        <f>[2]Diesel_S500!$C201</f>
        <v>1.982</v>
      </c>
      <c r="C90" s="165">
        <f t="shared" si="0"/>
        <v>146.22989523387929</v>
      </c>
      <c r="D90" s="183">
        <f t="shared" ref="D90:D95" si="43">100*(B90/B89-1)</f>
        <v>-5.0428643469491163E-2</v>
      </c>
      <c r="E90" s="183">
        <f t="shared" si="41"/>
        <v>0.15159171298635421</v>
      </c>
      <c r="F90" s="184">
        <f t="shared" si="42"/>
        <v>-0.55193176116404841</v>
      </c>
      <c r="G90" s="185">
        <f t="shared" si="37"/>
        <v>-5.7536852116024768</v>
      </c>
      <c r="H90" s="174">
        <f>+B$211/B90</f>
        <v>1.7023208879919272</v>
      </c>
    </row>
    <row r="91" spans="1:8" ht="14.25" hidden="1" customHeight="1">
      <c r="A91" s="222" t="s">
        <v>196</v>
      </c>
      <c r="B91" s="173">
        <f>[2]Diesel_S500!$C202</f>
        <v>1.9810000000000001</v>
      </c>
      <c r="C91" s="165">
        <f t="shared" si="0"/>
        <v>146.1561162756382</v>
      </c>
      <c r="D91" s="183">
        <f t="shared" si="43"/>
        <v>-5.0454086781026586E-2</v>
      </c>
      <c r="E91" s="183">
        <f t="shared" si="41"/>
        <v>0.10106114199091021</v>
      </c>
      <c r="F91" s="184">
        <f t="shared" si="42"/>
        <v>-0.10085728693898233</v>
      </c>
      <c r="G91" s="185">
        <f t="shared" si="37"/>
        <v>-5.8907363420427465</v>
      </c>
      <c r="H91" s="174">
        <f>+B$211/B91</f>
        <v>1.7031802120141339</v>
      </c>
    </row>
    <row r="92" spans="1:8" ht="14.25" hidden="1" customHeight="1">
      <c r="A92" s="222" t="s">
        <v>197</v>
      </c>
      <c r="B92" s="173">
        <f>[2]Diesel_S500!$C203</f>
        <v>1.982</v>
      </c>
      <c r="C92" s="165">
        <f t="shared" si="0"/>
        <v>146.22989523387929</v>
      </c>
      <c r="D92" s="183">
        <f t="shared" si="43"/>
        <v>5.0479555779903151E-2</v>
      </c>
      <c r="E92" s="183">
        <f t="shared" si="41"/>
        <v>0.15159171298635421</v>
      </c>
      <c r="F92" s="184">
        <f t="shared" si="42"/>
        <v>0.40526849037487711</v>
      </c>
      <c r="G92" s="185">
        <f t="shared" si="37"/>
        <v>-5.8879392212725534</v>
      </c>
      <c r="H92" s="174">
        <f>+B$211/B92</f>
        <v>1.7023208879919272</v>
      </c>
    </row>
    <row r="93" spans="1:8" ht="14.25" hidden="1" customHeight="1">
      <c r="A93" s="222" t="s">
        <v>198</v>
      </c>
      <c r="B93" s="173">
        <f>[2]Diesel_S500!$C204</f>
        <v>1.982</v>
      </c>
      <c r="C93" s="165">
        <f t="shared" si="0"/>
        <v>146.22989523387929</v>
      </c>
      <c r="D93" s="183">
        <f t="shared" si="43"/>
        <v>0</v>
      </c>
      <c r="E93" s="183">
        <f t="shared" si="41"/>
        <v>0.15159171298635421</v>
      </c>
      <c r="F93" s="184">
        <f t="shared" si="42"/>
        <v>0.20222446916073888</v>
      </c>
      <c r="G93" s="185">
        <f t="shared" si="37"/>
        <v>-5.9772296015180304</v>
      </c>
      <c r="H93" s="174">
        <f>+B$211/B93</f>
        <v>1.7023208879919272</v>
      </c>
    </row>
    <row r="94" spans="1:8" ht="14.25" hidden="1" customHeight="1">
      <c r="A94" s="264" t="s">
        <v>199</v>
      </c>
      <c r="B94" s="173">
        <f>[2]Diesel_S500!$C205</f>
        <v>1.9830000000000001</v>
      </c>
      <c r="C94" s="165">
        <f t="shared" si="0"/>
        <v>146.30367419212041</v>
      </c>
      <c r="D94" s="183">
        <f t="shared" si="43"/>
        <v>5.0454086781037688E-2</v>
      </c>
      <c r="E94" s="183">
        <f t="shared" si="41"/>
        <v>0.20212228398179821</v>
      </c>
      <c r="F94" s="184">
        <f t="shared" si="42"/>
        <v>0.20212228398179821</v>
      </c>
      <c r="G94" s="185">
        <f t="shared" si="37"/>
        <v>-5.9297912713472511</v>
      </c>
      <c r="H94" s="174">
        <f>+B$211/B94</f>
        <v>1.701462430660615</v>
      </c>
    </row>
    <row r="95" spans="1:8" ht="16.5" customHeight="1">
      <c r="A95" s="265" t="s">
        <v>200</v>
      </c>
      <c r="B95" s="173">
        <f>[2]Diesel_S500!$C206</f>
        <v>1.9950000000000001</v>
      </c>
      <c r="C95" s="165">
        <f t="shared" si="0"/>
        <v>147.18902169101372</v>
      </c>
      <c r="D95" s="166">
        <f t="shared" si="43"/>
        <v>0.60514372163389396</v>
      </c>
      <c r="E95" s="166">
        <f t="shared" ref="E95:E100" si="44">100*(B95/B$94-1)</f>
        <v>0.60514372163389396</v>
      </c>
      <c r="F95" s="169">
        <f t="shared" si="42"/>
        <v>0.45317220543807935</v>
      </c>
      <c r="G95" s="170">
        <f t="shared" si="37"/>
        <v>-5.3605313092979117</v>
      </c>
      <c r="H95" s="174">
        <f>+B$211/B95</f>
        <v>1.6912280701754383</v>
      </c>
    </row>
    <row r="96" spans="1:8" ht="16.5" customHeight="1">
      <c r="A96" s="163" t="s">
        <v>201</v>
      </c>
      <c r="B96" s="173">
        <f>[2]Diesel_S500!$C207</f>
        <v>2</v>
      </c>
      <c r="C96" s="165">
        <f t="shared" si="0"/>
        <v>147.55791648221927</v>
      </c>
      <c r="D96" s="166">
        <f t="shared" ref="D96:D101" si="45">100*(B96/B95-1)</f>
        <v>0.25062656641603454</v>
      </c>
      <c r="E96" s="166">
        <f t="shared" si="44"/>
        <v>0.85728693898132757</v>
      </c>
      <c r="F96" s="169">
        <f t="shared" si="42"/>
        <v>0.45203415369161615</v>
      </c>
      <c r="G96" s="170">
        <f t="shared" si="37"/>
        <v>-5.1233396584440261</v>
      </c>
      <c r="H96" s="174">
        <f>+B$211/B96</f>
        <v>1.6869999999999998</v>
      </c>
    </row>
    <row r="97" spans="1:8" ht="16.5" customHeight="1">
      <c r="A97" s="163" t="s">
        <v>202</v>
      </c>
      <c r="B97" s="173">
        <f>[2]Diesel_S500!$C208</f>
        <v>2.008</v>
      </c>
      <c r="C97" s="165">
        <f t="shared" si="0"/>
        <v>148.14814814814815</v>
      </c>
      <c r="D97" s="166">
        <f t="shared" si="45"/>
        <v>0.40000000000000036</v>
      </c>
      <c r="E97" s="166">
        <f t="shared" si="44"/>
        <v>1.2607160867372569</v>
      </c>
      <c r="F97" s="169">
        <f t="shared" si="42"/>
        <v>0.95525389643034142</v>
      </c>
      <c r="G97" s="170">
        <f t="shared" si="37"/>
        <v>-4.69862363550072</v>
      </c>
      <c r="H97" s="174">
        <f t="shared" ref="H97:H160" si="46">+B$211/B97</f>
        <v>1.6802788844621512</v>
      </c>
    </row>
    <row r="98" spans="1:8" ht="16.5" customHeight="1">
      <c r="A98" s="163" t="s">
        <v>203</v>
      </c>
      <c r="B98" s="173">
        <f>[2]Diesel_S500!$C209</f>
        <v>2.012</v>
      </c>
      <c r="C98" s="165">
        <f t="shared" si="0"/>
        <v>148.44326398111258</v>
      </c>
      <c r="D98" s="166">
        <f t="shared" si="45"/>
        <v>0.19920318725099584</v>
      </c>
      <c r="E98" s="166">
        <f t="shared" si="44"/>
        <v>1.4624306606152215</v>
      </c>
      <c r="F98" s="169">
        <f t="shared" si="42"/>
        <v>1.2072434607645954</v>
      </c>
      <c r="G98" s="170">
        <f t="shared" si="37"/>
        <v>-4.5087802562885688</v>
      </c>
      <c r="H98" s="174">
        <f t="shared" si="46"/>
        <v>1.6769383697813121</v>
      </c>
    </row>
    <row r="99" spans="1:8" ht="16.5" customHeight="1">
      <c r="A99" s="163" t="s">
        <v>204</v>
      </c>
      <c r="B99" s="173">
        <f>[2]Diesel_S500!$C210</f>
        <v>2.0099999999999998</v>
      </c>
      <c r="C99" s="165">
        <f t="shared" si="0"/>
        <v>148.29570606463037</v>
      </c>
      <c r="D99" s="166">
        <f t="shared" si="45"/>
        <v>-9.9403578528833858E-2</v>
      </c>
      <c r="E99" s="166">
        <f t="shared" si="44"/>
        <v>1.3615733736762392</v>
      </c>
      <c r="F99" s="169">
        <f t="shared" si="42"/>
        <v>1.2084592145014783</v>
      </c>
      <c r="G99" s="170">
        <f t="shared" si="37"/>
        <v>-4.5584045584045612</v>
      </c>
      <c r="H99" s="174">
        <f t="shared" si="46"/>
        <v>1.6786069651741293</v>
      </c>
    </row>
    <row r="100" spans="1:8" ht="16.5" customHeight="1">
      <c r="A100" s="163" t="s">
        <v>205</v>
      </c>
      <c r="B100" s="173">
        <f>[2]Diesel_S500!$C211</f>
        <v>2.008</v>
      </c>
      <c r="C100" s="165">
        <f t="shared" si="0"/>
        <v>148.14814814814815</v>
      </c>
      <c r="D100" s="166">
        <f t="shared" si="45"/>
        <v>-9.9502487562175279E-2</v>
      </c>
      <c r="E100" s="166">
        <f t="shared" si="44"/>
        <v>1.2607160867372569</v>
      </c>
      <c r="F100" s="169">
        <f t="shared" si="42"/>
        <v>1.2607160867372569</v>
      </c>
      <c r="G100" s="170">
        <f t="shared" si="37"/>
        <v>-0.6923837784371778</v>
      </c>
      <c r="H100" s="174">
        <f t="shared" si="46"/>
        <v>1.6802788844621512</v>
      </c>
    </row>
    <row r="101" spans="1:8" ht="16.5" customHeight="1">
      <c r="A101" s="163" t="s">
        <v>206</v>
      </c>
      <c r="B101" s="173">
        <f>[2]Diesel_S500!$C212</f>
        <v>2.0089999999999999</v>
      </c>
      <c r="C101" s="165">
        <f t="shared" si="0"/>
        <v>148.22192710638924</v>
      </c>
      <c r="D101" s="166">
        <f t="shared" si="45"/>
        <v>4.9800796812737858E-2</v>
      </c>
      <c r="E101" s="166">
        <f t="shared" ref="E101:E106" si="47">100*(B101/B$94-1)</f>
        <v>1.311144730206748</v>
      </c>
      <c r="F101" s="169">
        <f t="shared" ref="F101:F106" si="48">(100*(B101/B89-1))</f>
        <v>1.311144730206748</v>
      </c>
      <c r="G101" s="170">
        <f t="shared" ref="G101:G106" si="49">100*(B101/B77-1)</f>
        <v>0.60090135202803818</v>
      </c>
      <c r="H101" s="174">
        <f t="shared" si="46"/>
        <v>1.6794425087108014</v>
      </c>
    </row>
    <row r="102" spans="1:8" ht="16.5" customHeight="1">
      <c r="A102" s="163" t="s">
        <v>207</v>
      </c>
      <c r="B102" s="173">
        <f>[2]Diesel_S500!$C213</f>
        <v>2.0089999999999999</v>
      </c>
      <c r="C102" s="165">
        <f t="shared" si="0"/>
        <v>148.22192710638924</v>
      </c>
      <c r="D102" s="166">
        <f t="shared" ref="D102:D107" si="50">100*(B102/B101-1)</f>
        <v>0</v>
      </c>
      <c r="E102" s="166">
        <f t="shared" si="47"/>
        <v>1.311144730206748</v>
      </c>
      <c r="F102" s="169">
        <f t="shared" si="48"/>
        <v>1.3622603430877955</v>
      </c>
      <c r="G102" s="170">
        <f t="shared" si="49"/>
        <v>0.80280983442049259</v>
      </c>
      <c r="H102" s="174">
        <f t="shared" si="46"/>
        <v>1.6794425087108014</v>
      </c>
    </row>
    <row r="103" spans="1:8" ht="16.5" customHeight="1">
      <c r="A103" s="163" t="s">
        <v>208</v>
      </c>
      <c r="B103" s="173">
        <f>[2]Diesel_S500!$C214</f>
        <v>2.0259999999999998</v>
      </c>
      <c r="C103" s="165">
        <f t="shared" si="0"/>
        <v>149.4761693964881</v>
      </c>
      <c r="D103" s="166">
        <f t="shared" si="50"/>
        <v>0.84619213539074423</v>
      </c>
      <c r="E103" s="166">
        <f t="shared" si="47"/>
        <v>2.1684316691880756</v>
      </c>
      <c r="F103" s="169">
        <f t="shared" si="48"/>
        <v>2.2715800100958861</v>
      </c>
      <c r="G103" s="170">
        <f t="shared" si="49"/>
        <v>2.1684316691880756</v>
      </c>
      <c r="H103" s="174">
        <f t="shared" si="46"/>
        <v>1.6653504442250739</v>
      </c>
    </row>
    <row r="104" spans="1:8" ht="16.5" customHeight="1">
      <c r="A104" s="163" t="s">
        <v>209</v>
      </c>
      <c r="B104" s="173">
        <f>[2]Diesel_S500!$C215</f>
        <v>2.0299999999999998</v>
      </c>
      <c r="C104" s="165">
        <f t="shared" si="0"/>
        <v>149.77128522945256</v>
      </c>
      <c r="D104" s="166">
        <f t="shared" si="50"/>
        <v>0.19743336623889718</v>
      </c>
      <c r="E104" s="166">
        <f t="shared" si="47"/>
        <v>2.3701462430660403</v>
      </c>
      <c r="F104" s="169">
        <f t="shared" si="48"/>
        <v>2.4217961654893871</v>
      </c>
      <c r="G104" s="170">
        <f t="shared" si="49"/>
        <v>2.8368794326240954</v>
      </c>
      <c r="H104" s="174">
        <f t="shared" si="46"/>
        <v>1.6620689655172414</v>
      </c>
    </row>
    <row r="105" spans="1:8" ht="16.5" customHeight="1">
      <c r="A105" s="163" t="s">
        <v>210</v>
      </c>
      <c r="B105" s="173">
        <f>[2]Diesel_S500!$C216</f>
        <v>2.0310000000000001</v>
      </c>
      <c r="C105" s="165">
        <f t="shared" si="0"/>
        <v>149.84506418769368</v>
      </c>
      <c r="D105" s="166">
        <f t="shared" si="50"/>
        <v>4.9261083743856737E-2</v>
      </c>
      <c r="E105" s="166">
        <f t="shared" si="47"/>
        <v>2.4205748865355536</v>
      </c>
      <c r="F105" s="169">
        <f t="shared" si="48"/>
        <v>2.472250252270447</v>
      </c>
      <c r="G105" s="170">
        <f t="shared" si="49"/>
        <v>2.679474216380151</v>
      </c>
      <c r="H105" s="174">
        <f t="shared" si="46"/>
        <v>1.6612506154603641</v>
      </c>
    </row>
    <row r="106" spans="1:8" ht="16.5" customHeight="1">
      <c r="A106" s="163" t="s">
        <v>211</v>
      </c>
      <c r="B106" s="173">
        <f>[2]Diesel_S500!$C217</f>
        <v>2.0329999999999999</v>
      </c>
      <c r="C106" s="165">
        <f t="shared" si="0"/>
        <v>149.99262210417589</v>
      </c>
      <c r="D106" s="166">
        <f t="shared" si="50"/>
        <v>9.8473658296405198E-2</v>
      </c>
      <c r="E106" s="166">
        <f t="shared" si="47"/>
        <v>2.5214321734745138</v>
      </c>
      <c r="F106" s="169">
        <f t="shared" si="48"/>
        <v>2.5214321734745138</v>
      </c>
      <c r="G106" s="170">
        <f t="shared" si="49"/>
        <v>2.7286508337544202</v>
      </c>
      <c r="H106" s="174">
        <f t="shared" si="46"/>
        <v>1.659616330545991</v>
      </c>
    </row>
    <row r="107" spans="1:8" ht="16.5" customHeight="1">
      <c r="A107" s="163" t="s">
        <v>212</v>
      </c>
      <c r="B107" s="173">
        <f>[2]Diesel_S500!$C218</f>
        <v>2.04</v>
      </c>
      <c r="C107" s="165">
        <f t="shared" ref="C107:C112" si="51">100*B107/B$8</f>
        <v>150.50907481186366</v>
      </c>
      <c r="D107" s="166">
        <f t="shared" si="50"/>
        <v>0.34431874077718305</v>
      </c>
      <c r="E107" s="166">
        <f t="shared" ref="E107:E112" si="52">100*(B107/B$106-1)</f>
        <v>0.34431874077718305</v>
      </c>
      <c r="F107" s="169">
        <f t="shared" ref="F107:F112" si="53">(100*(B107/B95-1))</f>
        <v>2.2556390977443552</v>
      </c>
      <c r="G107" s="170">
        <f t="shared" ref="G107:G112" si="54">100*(B107/B83-1)</f>
        <v>2.7190332326284095</v>
      </c>
      <c r="H107" s="174">
        <f t="shared" si="46"/>
        <v>1.6539215686274509</v>
      </c>
    </row>
    <row r="108" spans="1:8" ht="16.5" customHeight="1">
      <c r="A108" s="163" t="s">
        <v>213</v>
      </c>
      <c r="B108" s="173">
        <f>[2]Diesel_S500!$C219</f>
        <v>2.0409999999999999</v>
      </c>
      <c r="C108" s="165">
        <f t="shared" si="51"/>
        <v>150.58285377010478</v>
      </c>
      <c r="D108" s="166">
        <f t="shared" ref="D108:D113" si="55">100*(B108/B107-1)</f>
        <v>4.9019607843137081E-2</v>
      </c>
      <c r="E108" s="166">
        <f t="shared" si="52"/>
        <v>0.3935071323167838</v>
      </c>
      <c r="F108" s="169">
        <f t="shared" si="53"/>
        <v>2.0499999999999963</v>
      </c>
      <c r="G108" s="170">
        <f t="shared" si="54"/>
        <v>2.5113008538422799</v>
      </c>
      <c r="H108" s="174">
        <f t="shared" si="46"/>
        <v>1.6531112199902007</v>
      </c>
    </row>
    <row r="109" spans="1:8" ht="16.5" customHeight="1">
      <c r="A109" s="163" t="s">
        <v>214</v>
      </c>
      <c r="B109" s="173">
        <f>[2]Diesel_S500!$C220</f>
        <v>2.0430000000000001</v>
      </c>
      <c r="C109" s="165">
        <f t="shared" si="51"/>
        <v>150.73041168658699</v>
      </c>
      <c r="D109" s="166">
        <f t="shared" si="55"/>
        <v>9.7991180793743915E-2</v>
      </c>
      <c r="E109" s="166">
        <f t="shared" si="52"/>
        <v>0.4918839153959853</v>
      </c>
      <c r="F109" s="169">
        <f t="shared" si="53"/>
        <v>1.7430278884462247</v>
      </c>
      <c r="G109" s="170">
        <f t="shared" si="54"/>
        <v>2.7149321266968229</v>
      </c>
      <c r="H109" s="174">
        <f t="shared" si="46"/>
        <v>1.651492902594224</v>
      </c>
    </row>
    <row r="110" spans="1:8" ht="16.5" customHeight="1">
      <c r="A110" s="163" t="s">
        <v>215</v>
      </c>
      <c r="B110" s="173">
        <f>[2]Diesel_S500!$C221</f>
        <v>2.0459999999999998</v>
      </c>
      <c r="C110" s="165">
        <f t="shared" si="51"/>
        <v>150.95174856131032</v>
      </c>
      <c r="D110" s="166">
        <f t="shared" si="55"/>
        <v>0.1468428781203901</v>
      </c>
      <c r="E110" s="166">
        <f t="shared" si="52"/>
        <v>0.63944909001474315</v>
      </c>
      <c r="F110" s="169">
        <f t="shared" si="53"/>
        <v>1.6898608349900535</v>
      </c>
      <c r="G110" s="170">
        <f t="shared" si="54"/>
        <v>2.917505030181089</v>
      </c>
      <c r="H110" s="174">
        <f t="shared" si="46"/>
        <v>1.6490713587487782</v>
      </c>
    </row>
    <row r="111" spans="1:8" ht="16.5" customHeight="1">
      <c r="A111" s="163" t="s">
        <v>216</v>
      </c>
      <c r="B111" s="173">
        <f>[2]Diesel_S500!$C222</f>
        <v>2.0470000000000002</v>
      </c>
      <c r="C111" s="165">
        <f t="shared" si="51"/>
        <v>151.02552751955145</v>
      </c>
      <c r="D111" s="166">
        <f t="shared" si="55"/>
        <v>4.8875855327490392E-2</v>
      </c>
      <c r="E111" s="166">
        <f t="shared" si="52"/>
        <v>0.6886374815543661</v>
      </c>
      <c r="F111" s="169">
        <f t="shared" si="53"/>
        <v>1.8407960199005258</v>
      </c>
      <c r="G111" s="170">
        <f t="shared" si="54"/>
        <v>3.0715005035246712</v>
      </c>
      <c r="H111" s="174">
        <f t="shared" si="46"/>
        <v>1.6482657547630677</v>
      </c>
    </row>
    <row r="112" spans="1:8" ht="16.5" customHeight="1">
      <c r="A112" s="163" t="s">
        <v>217</v>
      </c>
      <c r="B112" s="173">
        <f>[2]Diesel_S500!$C223</f>
        <v>2.0430000000000001</v>
      </c>
      <c r="C112" s="165">
        <f t="shared" si="51"/>
        <v>150.73041168658699</v>
      </c>
      <c r="D112" s="166">
        <f t="shared" si="55"/>
        <v>-0.19540791402051783</v>
      </c>
      <c r="E112" s="166">
        <f t="shared" si="52"/>
        <v>0.4918839153959853</v>
      </c>
      <c r="F112" s="169">
        <f t="shared" si="53"/>
        <v>1.7430278884462247</v>
      </c>
      <c r="G112" s="170">
        <f t="shared" si="54"/>
        <v>3.0257186081694254</v>
      </c>
      <c r="H112" s="174">
        <f t="shared" si="46"/>
        <v>1.651492902594224</v>
      </c>
    </row>
    <row r="113" spans="1:8" ht="16.5" customHeight="1">
      <c r="A113" s="163" t="s">
        <v>218</v>
      </c>
      <c r="B113" s="173">
        <f>[2]Diesel_S500!$C224</f>
        <v>2.1039999999999996</v>
      </c>
      <c r="C113" s="165">
        <f t="shared" ref="C113:C118" si="56">100*B113/B$8</f>
        <v>155.23092813929466</v>
      </c>
      <c r="D113" s="166">
        <f t="shared" si="55"/>
        <v>2.9858051884483316</v>
      </c>
      <c r="E113" s="166">
        <f t="shared" ref="E113:E118" si="57">100*(B113/B$106-1)</f>
        <v>3.4923757993113425</v>
      </c>
      <c r="F113" s="169">
        <f t="shared" ref="F113:F118" si="58">(100*(B113/B101-1))</f>
        <v>4.7287207565953171</v>
      </c>
      <c r="G113" s="170">
        <f t="shared" ref="G113:G118" si="59">100*(B113/B89-1)</f>
        <v>6.101865859808342</v>
      </c>
      <c r="H113" s="174">
        <f t="shared" si="46"/>
        <v>1.6036121673003803</v>
      </c>
    </row>
    <row r="114" spans="1:8" ht="16.5" customHeight="1">
      <c r="A114" s="163" t="s">
        <v>219</v>
      </c>
      <c r="B114" s="173">
        <f>[2]Diesel_S500!$C225</f>
        <v>2.1320000000000001</v>
      </c>
      <c r="C114" s="165">
        <f t="shared" si="56"/>
        <v>157.29673897004577</v>
      </c>
      <c r="D114" s="166">
        <f t="shared" ref="D114:D119" si="60">100*(B114/B113-1)</f>
        <v>1.3307984790874805</v>
      </c>
      <c r="E114" s="166">
        <f t="shared" si="57"/>
        <v>4.8696507624200747</v>
      </c>
      <c r="F114" s="169">
        <f t="shared" si="58"/>
        <v>6.1224489795918435</v>
      </c>
      <c r="G114" s="170">
        <f t="shared" si="59"/>
        <v>7.5681130171543876</v>
      </c>
      <c r="H114" s="174">
        <f t="shared" si="46"/>
        <v>1.5825515947467164</v>
      </c>
    </row>
    <row r="115" spans="1:8" ht="16.5" customHeight="1">
      <c r="A115" s="163" t="s">
        <v>220</v>
      </c>
      <c r="B115" s="173">
        <f>[2]Diesel_S500!$C226</f>
        <v>2.1379999999999999</v>
      </c>
      <c r="C115" s="165">
        <f t="shared" si="56"/>
        <v>157.73941271949241</v>
      </c>
      <c r="D115" s="166">
        <f t="shared" si="60"/>
        <v>0.28142589118198558</v>
      </c>
      <c r="E115" s="166">
        <f t="shared" si="57"/>
        <v>5.164781111657657</v>
      </c>
      <c r="F115" s="169">
        <f t="shared" si="58"/>
        <v>5.5281342546890544</v>
      </c>
      <c r="G115" s="170">
        <f t="shared" si="59"/>
        <v>7.9252902574457273</v>
      </c>
      <c r="H115" s="174">
        <f t="shared" si="46"/>
        <v>1.5781103835360148</v>
      </c>
    </row>
    <row r="116" spans="1:8" ht="16.5" customHeight="1">
      <c r="A116" s="163" t="s">
        <v>221</v>
      </c>
      <c r="B116" s="173">
        <f>[2]Diesel_S500!$C227</f>
        <v>2.1460000000000004</v>
      </c>
      <c r="C116" s="165">
        <f t="shared" si="56"/>
        <v>158.32964438542129</v>
      </c>
      <c r="D116" s="166">
        <f t="shared" si="60"/>
        <v>0.37418147801686619</v>
      </c>
      <c r="E116" s="166">
        <f t="shared" si="57"/>
        <v>5.5582882439744408</v>
      </c>
      <c r="F116" s="169">
        <f t="shared" si="58"/>
        <v>5.7142857142857384</v>
      </c>
      <c r="G116" s="170">
        <f t="shared" si="59"/>
        <v>8.2744702320888273</v>
      </c>
      <c r="H116" s="174">
        <f t="shared" si="46"/>
        <v>1.5722273998136063</v>
      </c>
    </row>
    <row r="117" spans="1:8" ht="16.5" customHeight="1">
      <c r="A117" s="163" t="s">
        <v>222</v>
      </c>
      <c r="B117" s="173">
        <f>[2]Diesel_S500!$C228</f>
        <v>2.15</v>
      </c>
      <c r="C117" s="165">
        <f t="shared" si="56"/>
        <v>158.62476021838572</v>
      </c>
      <c r="D117" s="166">
        <f t="shared" si="60"/>
        <v>0.18639328984153547</v>
      </c>
      <c r="E117" s="166">
        <f t="shared" si="57"/>
        <v>5.7550418101327994</v>
      </c>
      <c r="F117" s="169">
        <f t="shared" si="58"/>
        <v>5.8591826686361204</v>
      </c>
      <c r="G117" s="170">
        <f t="shared" si="59"/>
        <v>8.4762865792129105</v>
      </c>
      <c r="H117" s="174">
        <f t="shared" si="46"/>
        <v>1.5693023255813952</v>
      </c>
    </row>
    <row r="118" spans="1:8" ht="16.5" customHeight="1">
      <c r="A118" s="163" t="s">
        <v>223</v>
      </c>
      <c r="B118" s="173">
        <f>[2]Diesel_S500!$C229</f>
        <v>2.1520000000000006</v>
      </c>
      <c r="C118" s="165">
        <f t="shared" si="56"/>
        <v>158.77231813486799</v>
      </c>
      <c r="D118" s="166">
        <f t="shared" si="60"/>
        <v>9.3023255813995398E-2</v>
      </c>
      <c r="E118" s="166">
        <f t="shared" si="57"/>
        <v>5.8534185932120453</v>
      </c>
      <c r="F118" s="169">
        <f t="shared" si="58"/>
        <v>5.8534185932120453</v>
      </c>
      <c r="G118" s="170">
        <f t="shared" si="59"/>
        <v>8.5224407463439391</v>
      </c>
      <c r="H118" s="174">
        <f t="shared" si="46"/>
        <v>1.5678438661710032</v>
      </c>
    </row>
    <row r="119" spans="1:8" ht="16.5" customHeight="1">
      <c r="A119" s="163" t="s">
        <v>224</v>
      </c>
      <c r="B119" s="173">
        <f>[2]Diesel_S500!$C230</f>
        <v>2.1640000000000001</v>
      </c>
      <c r="C119" s="165">
        <f t="shared" ref="C119:C124" si="61">100*B119/B$8</f>
        <v>159.65766563376127</v>
      </c>
      <c r="D119" s="166">
        <f t="shared" si="60"/>
        <v>0.55762081784385131</v>
      </c>
      <c r="E119" s="166">
        <f t="shared" ref="E119:E124" si="62">100*(B119/B$118-1)</f>
        <v>0.55762081784385131</v>
      </c>
      <c r="F119" s="169">
        <f t="shared" ref="F119:F124" si="63">(100*(B119/B107-1))</f>
        <v>6.0784313725490202</v>
      </c>
      <c r="G119" s="170">
        <f t="shared" ref="G119:G124" si="64">100*(B119/B95-1)</f>
        <v>8.4711779448621627</v>
      </c>
      <c r="H119" s="174">
        <f t="shared" si="46"/>
        <v>1.5591497227356743</v>
      </c>
    </row>
    <row r="120" spans="1:8" ht="16.5" customHeight="1">
      <c r="A120" s="163" t="s">
        <v>225</v>
      </c>
      <c r="B120" s="173">
        <f>[2]Diesel_S500!$C231</f>
        <v>2.2549999999999994</v>
      </c>
      <c r="C120" s="165">
        <f t="shared" si="61"/>
        <v>166.3715508337022</v>
      </c>
      <c r="D120" s="166">
        <f t="shared" ref="D120:D125" si="65">100*(B120/B119-1)</f>
        <v>4.2051756007393415</v>
      </c>
      <c r="E120" s="166">
        <f t="shared" si="62"/>
        <v>4.7862453531597904</v>
      </c>
      <c r="F120" s="169">
        <f t="shared" si="63"/>
        <v>10.485056344928934</v>
      </c>
      <c r="G120" s="170">
        <f t="shared" si="64"/>
        <v>12.749999999999972</v>
      </c>
      <c r="H120" s="174">
        <f t="shared" si="46"/>
        <v>1.4962305986696234</v>
      </c>
    </row>
    <row r="121" spans="1:8" ht="16.5" customHeight="1">
      <c r="A121" s="163" t="s">
        <v>226</v>
      </c>
      <c r="B121" s="173">
        <f>[2]Diesel_S500!$C232</f>
        <v>2.3210000000000002</v>
      </c>
      <c r="C121" s="165">
        <f t="shared" si="61"/>
        <v>171.24096207761548</v>
      </c>
      <c r="D121" s="166">
        <f t="shared" si="65"/>
        <v>2.9268292682927077</v>
      </c>
      <c r="E121" s="166">
        <f t="shared" si="62"/>
        <v>7.8531598513010836</v>
      </c>
      <c r="F121" s="169">
        <f t="shared" si="63"/>
        <v>13.607440039158103</v>
      </c>
      <c r="G121" s="170">
        <f t="shared" si="64"/>
        <v>15.587649402390436</v>
      </c>
      <c r="H121" s="174">
        <f t="shared" si="46"/>
        <v>1.4536837570012924</v>
      </c>
    </row>
    <row r="122" spans="1:8" ht="16.5" customHeight="1">
      <c r="A122" s="163" t="s">
        <v>227</v>
      </c>
      <c r="B122" s="173">
        <f>[2]Diesel_S500!$C233</f>
        <v>2.3340000000000001</v>
      </c>
      <c r="C122" s="165">
        <f t="shared" si="61"/>
        <v>172.20008853474991</v>
      </c>
      <c r="D122" s="166">
        <f t="shared" si="65"/>
        <v>0.5601034037052921</v>
      </c>
      <c r="E122" s="166">
        <f t="shared" si="62"/>
        <v>8.4572490706319456</v>
      </c>
      <c r="F122" s="169">
        <f t="shared" si="63"/>
        <v>14.076246334310859</v>
      </c>
      <c r="G122" s="170">
        <f t="shared" si="64"/>
        <v>16.003976143141152</v>
      </c>
      <c r="H122" s="174">
        <f t="shared" si="46"/>
        <v>1.445586975149957</v>
      </c>
    </row>
    <row r="123" spans="1:8" ht="16.5" customHeight="1">
      <c r="A123" s="163" t="s">
        <v>228</v>
      </c>
      <c r="B123" s="173">
        <f>[2]Diesel_S500!$C234</f>
        <v>2.3340000000000001</v>
      </c>
      <c r="C123" s="165">
        <f t="shared" si="61"/>
        <v>172.20008853474991</v>
      </c>
      <c r="D123" s="166">
        <f t="shared" si="65"/>
        <v>0</v>
      </c>
      <c r="E123" s="166">
        <f t="shared" si="62"/>
        <v>8.4572490706319456</v>
      </c>
      <c r="F123" s="169">
        <f t="shared" si="63"/>
        <v>14.020517830972157</v>
      </c>
      <c r="G123" s="170">
        <f t="shared" si="64"/>
        <v>16.119402985074636</v>
      </c>
      <c r="H123" s="174">
        <f t="shared" si="46"/>
        <v>1.445586975149957</v>
      </c>
    </row>
    <row r="124" spans="1:8" ht="16.5" customHeight="1">
      <c r="A124" s="163" t="s">
        <v>229</v>
      </c>
      <c r="B124" s="173">
        <f>[2]Diesel_S500!$C235</f>
        <v>2.3340000000000001</v>
      </c>
      <c r="C124" s="165">
        <f t="shared" si="61"/>
        <v>172.20008853474991</v>
      </c>
      <c r="D124" s="166">
        <f t="shared" si="65"/>
        <v>0</v>
      </c>
      <c r="E124" s="166">
        <f t="shared" si="62"/>
        <v>8.4572490706319456</v>
      </c>
      <c r="F124" s="169">
        <f t="shared" si="63"/>
        <v>14.243759177679882</v>
      </c>
      <c r="G124" s="170">
        <f t="shared" si="64"/>
        <v>16.235059760956183</v>
      </c>
      <c r="H124" s="174">
        <f t="shared" si="46"/>
        <v>1.445586975149957</v>
      </c>
    </row>
    <row r="125" spans="1:8" ht="16.5" customHeight="1">
      <c r="A125" s="163" t="s">
        <v>230</v>
      </c>
      <c r="B125" s="173">
        <f>[2]Diesel_S500!$C236</f>
        <v>2.3330000000000006</v>
      </c>
      <c r="C125" s="165">
        <f t="shared" ref="C125:C131" si="66">100*B125/B$8</f>
        <v>172.12630957650885</v>
      </c>
      <c r="D125" s="166">
        <f t="shared" si="65"/>
        <v>-4.2844901456706719E-2</v>
      </c>
      <c r="E125" s="166">
        <f t="shared" ref="E125:E130" si="67">100*(B125/B$118-1)</f>
        <v>8.4107806691449802</v>
      </c>
      <c r="F125" s="169">
        <f t="shared" ref="F125:F130" si="68">(100*(B125/B113-1))</f>
        <v>10.88403041825099</v>
      </c>
      <c r="G125" s="170">
        <f t="shared" ref="G125:G130" si="69">100*(B125/B101-1)</f>
        <v>16.127426580388281</v>
      </c>
      <c r="H125" s="174">
        <f t="shared" si="46"/>
        <v>1.4462066009429912</v>
      </c>
    </row>
    <row r="126" spans="1:8" ht="16.5" customHeight="1">
      <c r="A126" s="163" t="s">
        <v>231</v>
      </c>
      <c r="B126" s="173">
        <f>[2]Diesel_S500!$C237</f>
        <v>2.331</v>
      </c>
      <c r="C126" s="165">
        <f t="shared" si="66"/>
        <v>171.97875166002657</v>
      </c>
      <c r="D126" s="166">
        <f t="shared" ref="D126:D131" si="70">100*(B126/B125-1)</f>
        <v>-8.5726532361796171E-2</v>
      </c>
      <c r="E126" s="166">
        <f t="shared" si="67"/>
        <v>8.3178438661709819</v>
      </c>
      <c r="F126" s="169">
        <f t="shared" si="68"/>
        <v>9.333958724202617</v>
      </c>
      <c r="G126" s="170">
        <f t="shared" si="69"/>
        <v>16.027874564459932</v>
      </c>
      <c r="H126" s="174">
        <f t="shared" si="46"/>
        <v>1.4474474474474472</v>
      </c>
    </row>
    <row r="127" spans="1:8" ht="16.5" customHeight="1">
      <c r="A127" s="163" t="s">
        <v>232</v>
      </c>
      <c r="B127" s="173">
        <f>[2]Diesel_S500!$C238</f>
        <v>2.3300000000000005</v>
      </c>
      <c r="C127" s="165">
        <f t="shared" si="66"/>
        <v>171.90497270178551</v>
      </c>
      <c r="D127" s="166">
        <f t="shared" si="70"/>
        <v>-4.2900042900018143E-2</v>
      </c>
      <c r="E127" s="166">
        <f t="shared" si="67"/>
        <v>8.2713754646840165</v>
      </c>
      <c r="F127" s="169">
        <f t="shared" si="68"/>
        <v>8.9803554724041454</v>
      </c>
      <c r="G127" s="170">
        <f t="shared" si="69"/>
        <v>15.004935834156008</v>
      </c>
      <c r="H127" s="174">
        <f t="shared" si="46"/>
        <v>1.4480686695278966</v>
      </c>
    </row>
    <row r="128" spans="1:8" ht="16.5" customHeight="1">
      <c r="A128" s="163" t="s">
        <v>233</v>
      </c>
      <c r="B128" s="173">
        <f>[2]Diesel_S500!$C239</f>
        <v>2.3330000000000006</v>
      </c>
      <c r="C128" s="165">
        <f t="shared" si="66"/>
        <v>172.12630957650885</v>
      </c>
      <c r="D128" s="166">
        <f t="shared" si="70"/>
        <v>0.12875536480687622</v>
      </c>
      <c r="E128" s="166">
        <f t="shared" si="67"/>
        <v>8.4107806691449802</v>
      </c>
      <c r="F128" s="169">
        <f t="shared" si="68"/>
        <v>8.7138863000931988</v>
      </c>
      <c r="G128" s="170">
        <f t="shared" si="69"/>
        <v>14.926108374384285</v>
      </c>
      <c r="H128" s="174">
        <f t="shared" si="46"/>
        <v>1.4462066009429912</v>
      </c>
    </row>
    <row r="129" spans="1:8" ht="16.5" customHeight="1">
      <c r="A129" s="163" t="s">
        <v>234</v>
      </c>
      <c r="B129" s="173">
        <f>[2]Diesel_S500!$C240</f>
        <v>2.3320000000000003</v>
      </c>
      <c r="C129" s="165">
        <f t="shared" si="66"/>
        <v>172.0525306182677</v>
      </c>
      <c r="D129" s="166">
        <f t="shared" si="70"/>
        <v>-4.2863266180892534E-2</v>
      </c>
      <c r="E129" s="166">
        <f t="shared" si="67"/>
        <v>8.3643122676579686</v>
      </c>
      <c r="F129" s="169">
        <f t="shared" si="68"/>
        <v>8.4651162790697843</v>
      </c>
      <c r="G129" s="170">
        <f t="shared" si="69"/>
        <v>14.820285573609059</v>
      </c>
      <c r="H129" s="174">
        <f t="shared" si="46"/>
        <v>1.4468267581475125</v>
      </c>
    </row>
    <row r="130" spans="1:8" ht="16.5" customHeight="1">
      <c r="A130" s="163" t="s">
        <v>235</v>
      </c>
      <c r="B130" s="173">
        <f>[2]Diesel_S500!$C241</f>
        <v>2.4750000000000001</v>
      </c>
      <c r="C130" s="165">
        <f t="shared" si="66"/>
        <v>182.60292164674635</v>
      </c>
      <c r="D130" s="166">
        <f t="shared" si="70"/>
        <v>6.1320754716980952</v>
      </c>
      <c r="E130" s="166">
        <f t="shared" si="67"/>
        <v>15.009293680297375</v>
      </c>
      <c r="F130" s="169">
        <f t="shared" si="68"/>
        <v>15.009293680297375</v>
      </c>
      <c r="G130" s="170">
        <f t="shared" si="69"/>
        <v>21.741269060501732</v>
      </c>
      <c r="H130" s="174">
        <f t="shared" si="46"/>
        <v>1.3632323232323231</v>
      </c>
    </row>
    <row r="131" spans="1:8" ht="16.5" customHeight="1">
      <c r="A131" s="163" t="s">
        <v>236</v>
      </c>
      <c r="B131" s="173">
        <f>[2]Diesel_S500!$C242</f>
        <v>2.4869999999999997</v>
      </c>
      <c r="C131" s="165">
        <f t="shared" si="66"/>
        <v>183.48826914563963</v>
      </c>
      <c r="D131" s="166">
        <f t="shared" si="70"/>
        <v>0.48484848484846577</v>
      </c>
      <c r="E131" s="166">
        <f t="shared" ref="E131:E136" si="71">100*(B131/B$130-1)</f>
        <v>0.48484848484846577</v>
      </c>
      <c r="F131" s="169">
        <f t="shared" ref="F131:F136" si="72">(100*(B131/B119-1))</f>
        <v>14.926062846580379</v>
      </c>
      <c r="G131" s="170">
        <f t="shared" ref="G131:G136" si="73">100*(B131/B107-1)</f>
        <v>21.911764705882341</v>
      </c>
      <c r="H131" s="174">
        <f t="shared" si="46"/>
        <v>1.3566546039404905</v>
      </c>
    </row>
    <row r="132" spans="1:8" ht="16.5" customHeight="1">
      <c r="A132" s="163" t="s">
        <v>237</v>
      </c>
      <c r="B132" s="173">
        <f>[2]Diesel_S500!$C243</f>
        <v>2.4929999999999999</v>
      </c>
      <c r="C132" s="165">
        <f t="shared" ref="C132:C137" si="74">100*B132/B$8</f>
        <v>183.9309428950863</v>
      </c>
      <c r="D132" s="166">
        <f t="shared" ref="D132:D137" si="75">100*(B132/B131-1)</f>
        <v>0.24125452352232735</v>
      </c>
      <c r="E132" s="166">
        <f t="shared" si="71"/>
        <v>0.72727272727270975</v>
      </c>
      <c r="F132" s="169">
        <f t="shared" si="72"/>
        <v>10.554323725055447</v>
      </c>
      <c r="G132" s="170">
        <f t="shared" si="73"/>
        <v>22.146006859382659</v>
      </c>
      <c r="H132" s="174">
        <f t="shared" si="46"/>
        <v>1.3533894905736061</v>
      </c>
    </row>
    <row r="133" spans="1:8" ht="16.5" customHeight="1">
      <c r="A133" s="163" t="s">
        <v>238</v>
      </c>
      <c r="B133" s="173">
        <f>[2]Diesel_S500!$C244</f>
        <v>2.4990000000000001</v>
      </c>
      <c r="C133" s="165">
        <f t="shared" si="74"/>
        <v>184.373616644533</v>
      </c>
      <c r="D133" s="166">
        <f t="shared" si="75"/>
        <v>0.24067388688329139</v>
      </c>
      <c r="E133" s="166">
        <f t="shared" si="71"/>
        <v>0.96969696969697594</v>
      </c>
      <c r="F133" s="169">
        <f t="shared" si="72"/>
        <v>7.6691081430417807</v>
      </c>
      <c r="G133" s="170">
        <f t="shared" si="73"/>
        <v>22.320117474302492</v>
      </c>
      <c r="H133" s="174">
        <f t="shared" si="46"/>
        <v>1.3501400560224088</v>
      </c>
    </row>
    <row r="134" spans="1:8" ht="16.5" customHeight="1">
      <c r="A134" s="163" t="s">
        <v>239</v>
      </c>
      <c r="B134" s="175">
        <f>[2]Diesel_S500!$C245</f>
        <v>2.5009999999999999</v>
      </c>
      <c r="C134" s="165">
        <f t="shared" si="74"/>
        <v>184.52117456101521</v>
      </c>
      <c r="D134" s="166">
        <f t="shared" si="75"/>
        <v>8.0032012805109076E-2</v>
      </c>
      <c r="E134" s="166">
        <f t="shared" si="71"/>
        <v>1.0505050505050351</v>
      </c>
      <c r="F134" s="169">
        <f t="shared" si="72"/>
        <v>7.1550985432733416</v>
      </c>
      <c r="G134" s="170">
        <f t="shared" si="73"/>
        <v>22.238514173998048</v>
      </c>
      <c r="H134" s="174">
        <f t="shared" si="46"/>
        <v>1.34906037584966</v>
      </c>
    </row>
    <row r="135" spans="1:8" ht="16.5" customHeight="1">
      <c r="A135" s="163" t="s">
        <v>240</v>
      </c>
      <c r="B135" s="175">
        <f>[2]Diesel_S500!$C246</f>
        <v>2.5</v>
      </c>
      <c r="C135" s="165">
        <f t="shared" si="74"/>
        <v>184.44739560277409</v>
      </c>
      <c r="D135" s="166">
        <f t="shared" si="75"/>
        <v>-3.9984006397442151E-2</v>
      </c>
      <c r="E135" s="166">
        <f t="shared" si="71"/>
        <v>1.0101010101010166</v>
      </c>
      <c r="F135" s="169">
        <f t="shared" si="72"/>
        <v>7.1122536418166238</v>
      </c>
      <c r="G135" s="170">
        <f t="shared" si="73"/>
        <v>22.12994626282363</v>
      </c>
      <c r="H135" s="174">
        <f t="shared" si="46"/>
        <v>1.3495999999999999</v>
      </c>
    </row>
    <row r="136" spans="1:8" ht="16.5" customHeight="1">
      <c r="A136" s="163" t="s">
        <v>241</v>
      </c>
      <c r="B136" s="175">
        <f>[2]Diesel_S500!$C247</f>
        <v>2.5</v>
      </c>
      <c r="C136" s="165">
        <f t="shared" si="74"/>
        <v>184.44739560277409</v>
      </c>
      <c r="D136" s="166">
        <f t="shared" si="75"/>
        <v>0</v>
      </c>
      <c r="E136" s="166">
        <f t="shared" si="71"/>
        <v>1.0101010101010166</v>
      </c>
      <c r="F136" s="169">
        <f t="shared" si="72"/>
        <v>7.1122536418166238</v>
      </c>
      <c r="G136" s="170">
        <f t="shared" si="73"/>
        <v>22.369065100342624</v>
      </c>
      <c r="H136" s="174">
        <f t="shared" si="46"/>
        <v>1.3495999999999999</v>
      </c>
    </row>
    <row r="137" spans="1:8" ht="16.5" customHeight="1">
      <c r="A137" s="163" t="s">
        <v>242</v>
      </c>
      <c r="B137" s="175">
        <f>[2]Diesel_S500!$C248</f>
        <v>2.4990000000000001</v>
      </c>
      <c r="C137" s="165">
        <f t="shared" si="74"/>
        <v>184.373616644533</v>
      </c>
      <c r="D137" s="166">
        <f t="shared" si="75"/>
        <v>-3.9999999999995595E-2</v>
      </c>
      <c r="E137" s="166">
        <f t="shared" ref="E137:E142" si="76">100*(B137/B$130-1)</f>
        <v>0.96969696969697594</v>
      </c>
      <c r="F137" s="169">
        <f t="shared" ref="F137:F142" si="77">(100*(B137/B125-1))</f>
        <v>7.1153021860265619</v>
      </c>
      <c r="G137" s="170">
        <f t="shared" ref="G137:G142" si="78">100*(B137/B113-1)</f>
        <v>18.773764258555147</v>
      </c>
      <c r="H137" s="174">
        <f t="shared" si="46"/>
        <v>1.3501400560224088</v>
      </c>
    </row>
    <row r="138" spans="1:8" ht="16.5" customHeight="1">
      <c r="A138" s="163" t="s">
        <v>243</v>
      </c>
      <c r="B138" s="175">
        <f>[2]Diesel_S500!$C249</f>
        <v>2.4990000000000001</v>
      </c>
      <c r="C138" s="165">
        <f t="shared" ref="C138:C143" si="79">100*B138/B$8</f>
        <v>184.373616644533</v>
      </c>
      <c r="D138" s="166">
        <f t="shared" ref="D138:D143" si="80">100*(B138/B137-1)</f>
        <v>0</v>
      </c>
      <c r="E138" s="166">
        <f t="shared" si="76"/>
        <v>0.96969696969697594</v>
      </c>
      <c r="F138" s="169">
        <f t="shared" si="77"/>
        <v>7.2072072072072224</v>
      </c>
      <c r="G138" s="170">
        <f t="shared" si="78"/>
        <v>17.213883677298302</v>
      </c>
      <c r="H138" s="174">
        <f t="shared" si="46"/>
        <v>1.3501400560224088</v>
      </c>
    </row>
    <row r="139" spans="1:8" ht="16.5" customHeight="1">
      <c r="A139" s="163" t="s">
        <v>244</v>
      </c>
      <c r="B139" s="175">
        <f>[2]Diesel_S500!$C250</f>
        <v>2.5009999999999999</v>
      </c>
      <c r="C139" s="165">
        <f t="shared" si="79"/>
        <v>184.52117456101521</v>
      </c>
      <c r="D139" s="166">
        <f t="shared" si="80"/>
        <v>8.0032012805109076E-2</v>
      </c>
      <c r="E139" s="166">
        <f t="shared" si="76"/>
        <v>1.0505050505050351</v>
      </c>
      <c r="F139" s="169">
        <f t="shared" si="77"/>
        <v>7.3390557939913892</v>
      </c>
      <c r="G139" s="170">
        <f t="shared" si="78"/>
        <v>16.978484565014028</v>
      </c>
      <c r="H139" s="174">
        <f t="shared" si="46"/>
        <v>1.34906037584966</v>
      </c>
    </row>
    <row r="140" spans="1:8" ht="16.5" customHeight="1">
      <c r="A140" s="163" t="s">
        <v>245</v>
      </c>
      <c r="B140" s="175">
        <f>[2]Diesel_S500!$C251</f>
        <v>2.5</v>
      </c>
      <c r="C140" s="165">
        <f t="shared" si="79"/>
        <v>184.44739560277409</v>
      </c>
      <c r="D140" s="166">
        <f t="shared" si="80"/>
        <v>-3.9984006397442151E-2</v>
      </c>
      <c r="E140" s="166">
        <f t="shared" si="76"/>
        <v>1.0101010101010166</v>
      </c>
      <c r="F140" s="169">
        <f t="shared" si="77"/>
        <v>7.1581654522074212</v>
      </c>
      <c r="G140" s="170">
        <f t="shared" si="78"/>
        <v>16.495806150978542</v>
      </c>
      <c r="H140" s="174">
        <f t="shared" si="46"/>
        <v>1.3495999999999999</v>
      </c>
    </row>
    <row r="141" spans="1:8" ht="16.5" customHeight="1">
      <c r="A141" s="163" t="s">
        <v>246</v>
      </c>
      <c r="B141" s="175">
        <f>[2]Diesel_S500!$C252</f>
        <v>2.6</v>
      </c>
      <c r="C141" s="165">
        <f t="shared" si="79"/>
        <v>191.82529142688506</v>
      </c>
      <c r="D141" s="166">
        <f t="shared" si="80"/>
        <v>4.0000000000000036</v>
      </c>
      <c r="E141" s="166">
        <f t="shared" si="76"/>
        <v>5.0505050505050608</v>
      </c>
      <c r="F141" s="169">
        <f t="shared" si="77"/>
        <v>11.492281303602049</v>
      </c>
      <c r="G141" s="170">
        <f t="shared" si="78"/>
        <v>20.930232558139551</v>
      </c>
      <c r="H141" s="174">
        <f t="shared" si="46"/>
        <v>1.2976923076923075</v>
      </c>
    </row>
    <row r="142" spans="1:8" ht="16.5" customHeight="1">
      <c r="A142" s="163" t="s">
        <v>247</v>
      </c>
      <c r="B142" s="175">
        <f>[2]Diesel_S500!$C253</f>
        <v>2.6069999999999998</v>
      </c>
      <c r="C142" s="165">
        <f t="shared" si="79"/>
        <v>192.34174413457282</v>
      </c>
      <c r="D142" s="166">
        <f t="shared" si="80"/>
        <v>0.26923076923075495</v>
      </c>
      <c r="E142" s="166">
        <f t="shared" si="76"/>
        <v>5.3333333333333233</v>
      </c>
      <c r="F142" s="169">
        <f t="shared" si="77"/>
        <v>5.3333333333333233</v>
      </c>
      <c r="G142" s="170">
        <f t="shared" si="78"/>
        <v>21.143122676579871</v>
      </c>
      <c r="H142" s="174">
        <f t="shared" si="46"/>
        <v>1.2942079018028385</v>
      </c>
    </row>
    <row r="143" spans="1:8" ht="16.5" customHeight="1">
      <c r="A143" s="163" t="s">
        <v>248</v>
      </c>
      <c r="B143" s="175">
        <f>[2]Diesel_S500!$C254</f>
        <v>2.613</v>
      </c>
      <c r="C143" s="165">
        <f t="shared" si="79"/>
        <v>192.78441788401949</v>
      </c>
      <c r="D143" s="166">
        <f t="shared" si="80"/>
        <v>0.23014959723821615</v>
      </c>
      <c r="E143" s="166">
        <f t="shared" ref="E143:E148" si="81">100*(B143/B$142-1)</f>
        <v>0.23014959723821615</v>
      </c>
      <c r="F143" s="169">
        <f t="shared" ref="F143:F148" si="82">(100*(B143/B131-1))</f>
        <v>5.0663449939686522</v>
      </c>
      <c r="G143" s="170">
        <f t="shared" ref="G143:G148" si="83">100*(B143/B119-1)</f>
        <v>20.748613678373374</v>
      </c>
      <c r="H143" s="174">
        <f t="shared" si="46"/>
        <v>1.2912361270570225</v>
      </c>
    </row>
    <row r="144" spans="1:8" ht="16.5" customHeight="1">
      <c r="A144" s="163" t="s">
        <v>249</v>
      </c>
      <c r="B144" s="175">
        <f>[2]Diesel_S500!$C255</f>
        <v>2.8079999999999998</v>
      </c>
      <c r="C144" s="165">
        <f t="shared" ref="C144:C150" si="84">100*B144/B$8</f>
        <v>207.17131474103584</v>
      </c>
      <c r="D144" s="166">
        <f t="shared" ref="D144:D149" si="85">100*(B144/B143-1)</f>
        <v>7.4626865671641784</v>
      </c>
      <c r="E144" s="166">
        <f t="shared" si="81"/>
        <v>7.7100115074798747</v>
      </c>
      <c r="F144" s="169">
        <f t="shared" si="82"/>
        <v>12.635379061371843</v>
      </c>
      <c r="G144" s="170">
        <f t="shared" si="83"/>
        <v>24.523281596452364</v>
      </c>
      <c r="H144" s="174">
        <f t="shared" si="46"/>
        <v>1.2015669515669516</v>
      </c>
    </row>
    <row r="145" spans="1:8" ht="16.5" customHeight="1">
      <c r="A145" s="163" t="s">
        <v>250</v>
      </c>
      <c r="B145" s="175">
        <f>[2]Diesel_S500!$C256</f>
        <v>2.8099999999999996</v>
      </c>
      <c r="C145" s="165">
        <f t="shared" si="84"/>
        <v>207.31887265751806</v>
      </c>
      <c r="D145" s="166">
        <f t="shared" si="85"/>
        <v>7.1225071225056169E-2</v>
      </c>
      <c r="E145" s="166">
        <f t="shared" si="81"/>
        <v>7.7867280398925987</v>
      </c>
      <c r="F145" s="169">
        <f t="shared" si="82"/>
        <v>12.44497799119646</v>
      </c>
      <c r="G145" s="170">
        <f t="shared" si="83"/>
        <v>21.068504954760847</v>
      </c>
      <c r="H145" s="174">
        <f t="shared" si="46"/>
        <v>1.2007117437722421</v>
      </c>
    </row>
    <row r="146" spans="1:8" ht="16.5" customHeight="1">
      <c r="A146" s="163" t="s">
        <v>252</v>
      </c>
      <c r="B146" s="175">
        <f>[2]Diesel_S500!$C257</f>
        <v>2.8090000000000006</v>
      </c>
      <c r="C146" s="165">
        <f t="shared" si="84"/>
        <v>207.24509369927699</v>
      </c>
      <c r="D146" s="166">
        <f t="shared" si="85"/>
        <v>-3.5587188612062892E-2</v>
      </c>
      <c r="E146" s="166">
        <f t="shared" si="81"/>
        <v>7.74836977368627</v>
      </c>
      <c r="F146" s="169">
        <f t="shared" si="82"/>
        <v>12.315073970411872</v>
      </c>
      <c r="G146" s="170">
        <f t="shared" si="83"/>
        <v>20.351328191945186</v>
      </c>
      <c r="H146" s="174">
        <f t="shared" si="46"/>
        <v>1.2011391954432178</v>
      </c>
    </row>
    <row r="147" spans="1:8" ht="16.5" customHeight="1">
      <c r="A147" s="163" t="s">
        <v>253</v>
      </c>
      <c r="B147" s="175">
        <f>[2]Diesel_S500!$C258</f>
        <v>2.8069999999999995</v>
      </c>
      <c r="C147" s="165">
        <f t="shared" si="84"/>
        <v>207.09753578279469</v>
      </c>
      <c r="D147" s="166">
        <f t="shared" si="85"/>
        <v>-7.1199715201175628E-2</v>
      </c>
      <c r="E147" s="166">
        <f t="shared" si="81"/>
        <v>7.6716532412734795</v>
      </c>
      <c r="F147" s="169">
        <f t="shared" si="82"/>
        <v>12.27999999999998</v>
      </c>
      <c r="G147" s="170">
        <f t="shared" si="83"/>
        <v>20.265638389031682</v>
      </c>
      <c r="H147" s="174">
        <f t="shared" si="46"/>
        <v>1.2019950124688281</v>
      </c>
    </row>
    <row r="148" spans="1:8" ht="16.5" customHeight="1">
      <c r="A148" s="163" t="s">
        <v>254</v>
      </c>
      <c r="B148" s="175">
        <f>[2]Diesel_S500!$C259</f>
        <v>2.8069999999999995</v>
      </c>
      <c r="C148" s="165">
        <f t="shared" si="84"/>
        <v>207.09753578279469</v>
      </c>
      <c r="D148" s="166">
        <f t="shared" si="85"/>
        <v>0</v>
      </c>
      <c r="E148" s="166">
        <f t="shared" si="81"/>
        <v>7.6716532412734795</v>
      </c>
      <c r="F148" s="169">
        <f t="shared" si="82"/>
        <v>12.27999999999998</v>
      </c>
      <c r="G148" s="170">
        <f t="shared" si="83"/>
        <v>20.265638389031682</v>
      </c>
      <c r="H148" s="174">
        <f t="shared" si="46"/>
        <v>1.2019950124688281</v>
      </c>
    </row>
    <row r="149" spans="1:8" ht="16.5" customHeight="1">
      <c r="A149" s="163" t="s">
        <v>255</v>
      </c>
      <c r="B149" s="175">
        <f>[2]Diesel_S500!$C260</f>
        <v>2.8050000000000002</v>
      </c>
      <c r="C149" s="165">
        <f t="shared" si="84"/>
        <v>206.94997786631254</v>
      </c>
      <c r="D149" s="166">
        <f t="shared" si="85"/>
        <v>-7.1250445315262922E-2</v>
      </c>
      <c r="E149" s="166">
        <f t="shared" ref="E149:E154" si="86">100*(B149/B$142-1)</f>
        <v>7.5949367088607778</v>
      </c>
      <c r="F149" s="169">
        <f t="shared" ref="F149:F154" si="87">(100*(B149/B137-1))</f>
        <v>12.244897959183664</v>
      </c>
      <c r="G149" s="170">
        <f t="shared" ref="G149:G154" si="88">100*(B149/B125-1)</f>
        <v>20.231461637376746</v>
      </c>
      <c r="H149" s="174">
        <f t="shared" si="46"/>
        <v>1.2028520499108732</v>
      </c>
    </row>
    <row r="150" spans="1:8" ht="16.5" customHeight="1">
      <c r="A150" s="163" t="s">
        <v>256</v>
      </c>
      <c r="B150" s="175">
        <f>[2]Diesel_S500!$C261</f>
        <v>2.7989999999999999</v>
      </c>
      <c r="C150" s="165">
        <f t="shared" si="84"/>
        <v>206.50730411686587</v>
      </c>
      <c r="D150" s="166">
        <f t="shared" ref="D150:D155" si="89">100*(B150/B149-1)</f>
        <v>-0.21390374331551332</v>
      </c>
      <c r="E150" s="166">
        <f t="shared" si="86"/>
        <v>7.3647871116225616</v>
      </c>
      <c r="F150" s="169">
        <f t="shared" si="87"/>
        <v>12.004801920768294</v>
      </c>
      <c r="G150" s="170">
        <f t="shared" si="88"/>
        <v>20.077220077220083</v>
      </c>
      <c r="H150" s="174">
        <f t="shared" si="46"/>
        <v>1.2054305108967487</v>
      </c>
    </row>
    <row r="151" spans="1:8" ht="16.5" customHeight="1">
      <c r="A151" s="163" t="s">
        <v>257</v>
      </c>
      <c r="B151" s="175">
        <f>[2]Diesel_S500!$C262</f>
        <v>2.8129999999999997</v>
      </c>
      <c r="C151" s="165">
        <f t="shared" ref="C151:C157" si="90">100*B151/B$8</f>
        <v>207.54020953224139</v>
      </c>
      <c r="D151" s="166">
        <f t="shared" si="89"/>
        <v>0.50017863522686667</v>
      </c>
      <c r="E151" s="166">
        <f t="shared" si="86"/>
        <v>7.9018028385116956</v>
      </c>
      <c r="F151" s="169">
        <f t="shared" si="87"/>
        <v>12.475009996001596</v>
      </c>
      <c r="G151" s="170">
        <f t="shared" si="88"/>
        <v>20.729613733905538</v>
      </c>
      <c r="H151" s="174">
        <f t="shared" si="46"/>
        <v>1.199431212228937</v>
      </c>
    </row>
    <row r="152" spans="1:8" ht="16.5" customHeight="1">
      <c r="A152" s="163" t="s">
        <v>258</v>
      </c>
      <c r="B152" s="175">
        <f>[2]Diesel_S500!$C263</f>
        <v>2.93</v>
      </c>
      <c r="C152" s="165">
        <f t="shared" si="90"/>
        <v>216.17234764645124</v>
      </c>
      <c r="D152" s="166">
        <f t="shared" si="89"/>
        <v>4.1592605758976386</v>
      </c>
      <c r="E152" s="166">
        <f t="shared" si="86"/>
        <v>12.389719984656701</v>
      </c>
      <c r="F152" s="169">
        <f t="shared" si="87"/>
        <v>17.200000000000017</v>
      </c>
      <c r="G152" s="170">
        <f t="shared" si="88"/>
        <v>25.589369909987102</v>
      </c>
      <c r="H152" s="174">
        <f t="shared" si="46"/>
        <v>1.1515358361774741</v>
      </c>
    </row>
    <row r="153" spans="1:8" ht="16.5" customHeight="1">
      <c r="A153" s="163" t="s">
        <v>259</v>
      </c>
      <c r="B153" s="175">
        <f>[2]Diesel_S500!$C264</f>
        <v>2.9769999999999999</v>
      </c>
      <c r="C153" s="165">
        <f t="shared" si="90"/>
        <v>219.63995868378339</v>
      </c>
      <c r="D153" s="166">
        <f t="shared" si="89"/>
        <v>1.6040955631399179</v>
      </c>
      <c r="E153" s="166">
        <f t="shared" si="86"/>
        <v>14.192558496355968</v>
      </c>
      <c r="F153" s="169">
        <f t="shared" si="87"/>
        <v>14.500000000000002</v>
      </c>
      <c r="G153" s="170">
        <f t="shared" si="88"/>
        <v>27.658662092624333</v>
      </c>
      <c r="H153" s="174">
        <f t="shared" si="46"/>
        <v>1.1333557272421901</v>
      </c>
    </row>
    <row r="154" spans="1:8" ht="16.5" customHeight="1">
      <c r="A154" s="163" t="s">
        <v>260</v>
      </c>
      <c r="B154" s="175">
        <f>[2]Diesel_S500!$C265</f>
        <v>2.9860000000000002</v>
      </c>
      <c r="C154" s="165">
        <f t="shared" si="90"/>
        <v>220.30396930795339</v>
      </c>
      <c r="D154" s="166">
        <f t="shared" si="89"/>
        <v>0.30231776956668455</v>
      </c>
      <c r="E154" s="166">
        <f t="shared" si="86"/>
        <v>14.537782892213279</v>
      </c>
      <c r="F154" s="169">
        <f t="shared" si="87"/>
        <v>14.537782892213279</v>
      </c>
      <c r="G154" s="170">
        <f t="shared" si="88"/>
        <v>20.646464646464647</v>
      </c>
      <c r="H154" s="174">
        <f t="shared" si="46"/>
        <v>1.1299397186872069</v>
      </c>
    </row>
    <row r="155" spans="1:8" ht="16.5" customHeight="1">
      <c r="A155" s="163" t="s">
        <v>261</v>
      </c>
      <c r="B155" s="175">
        <f>[2]Diesel_S500!$C266</f>
        <v>3.0100000000000002</v>
      </c>
      <c r="C155" s="165">
        <f t="shared" si="90"/>
        <v>222.07466430574001</v>
      </c>
      <c r="D155" s="166">
        <f t="shared" si="89"/>
        <v>0.80375083724044671</v>
      </c>
      <c r="E155" s="166">
        <f t="shared" ref="E155:E160" si="91">100*(B155/B$154-1)</f>
        <v>0.80375083724044671</v>
      </c>
      <c r="F155" s="169">
        <f t="shared" ref="F155:F160" si="92">(100*(B155/B143-1))</f>
        <v>15.193264446995801</v>
      </c>
      <c r="G155" s="170">
        <f t="shared" ref="G155:G160" si="93">100*(B155/B131-1)</f>
        <v>21.029352633695233</v>
      </c>
      <c r="H155" s="174">
        <f t="shared" si="46"/>
        <v>1.1209302325581394</v>
      </c>
    </row>
    <row r="156" spans="1:8" ht="16.5" customHeight="1">
      <c r="A156" s="163" t="s">
        <v>262</v>
      </c>
      <c r="B156" s="175">
        <f>[2]Diesel_S500!$C267</f>
        <v>3.02</v>
      </c>
      <c r="C156" s="165">
        <f t="shared" si="90"/>
        <v>222.81245388815111</v>
      </c>
      <c r="D156" s="166">
        <f t="shared" ref="D156:D161" si="94">100*(B156/B155-1)</f>
        <v>0.33222591362125353</v>
      </c>
      <c r="E156" s="166">
        <f t="shared" si="91"/>
        <v>1.1386470194239662</v>
      </c>
      <c r="F156" s="169">
        <f t="shared" si="92"/>
        <v>7.5498575498575526</v>
      </c>
      <c r="G156" s="170">
        <f t="shared" si="93"/>
        <v>21.139189731247509</v>
      </c>
      <c r="H156" s="174">
        <f t="shared" si="46"/>
        <v>1.1172185430463575</v>
      </c>
    </row>
    <row r="157" spans="1:8" ht="16.5" customHeight="1">
      <c r="A157" s="163" t="s">
        <v>263</v>
      </c>
      <c r="B157" s="175">
        <f>[2]Diesel_S500!$C268</f>
        <v>3.0210000000000004</v>
      </c>
      <c r="C157" s="165">
        <f t="shared" si="90"/>
        <v>222.88623284639223</v>
      </c>
      <c r="D157" s="166">
        <f t="shared" si="94"/>
        <v>3.3112582781469335E-2</v>
      </c>
      <c r="E157" s="166">
        <f t="shared" si="91"/>
        <v>1.1721366376423292</v>
      </c>
      <c r="F157" s="169">
        <f t="shared" si="92"/>
        <v>7.5088967971530529</v>
      </c>
      <c r="G157" s="170">
        <f t="shared" si="93"/>
        <v>20.888355342136865</v>
      </c>
      <c r="H157" s="174">
        <f t="shared" si="46"/>
        <v>1.1168487255875537</v>
      </c>
    </row>
    <row r="158" spans="1:8" ht="16.5" customHeight="1">
      <c r="A158" s="163" t="s">
        <v>264</v>
      </c>
      <c r="B158" s="175">
        <f>[2]Diesel_S500!$C269</f>
        <v>3.0210000000000004</v>
      </c>
      <c r="C158" s="165">
        <f t="shared" ref="C158:C164" si="95">100*B158/B$8</f>
        <v>222.88623284639223</v>
      </c>
      <c r="D158" s="166">
        <f t="shared" si="94"/>
        <v>0</v>
      </c>
      <c r="E158" s="166">
        <f t="shared" si="91"/>
        <v>1.1721366376423292</v>
      </c>
      <c r="F158" s="169">
        <f t="shared" si="92"/>
        <v>7.547169811320753</v>
      </c>
      <c r="G158" s="170">
        <f t="shared" si="93"/>
        <v>20.791683326669343</v>
      </c>
      <c r="H158" s="174">
        <f t="shared" si="46"/>
        <v>1.1168487255875537</v>
      </c>
    </row>
    <row r="159" spans="1:8" ht="16.5" customHeight="1">
      <c r="A159" s="163" t="s">
        <v>265</v>
      </c>
      <c r="B159" s="175">
        <f>[2]Diesel_S500!$C270</f>
        <v>3.0150000000000001</v>
      </c>
      <c r="C159" s="165">
        <f t="shared" si="95"/>
        <v>222.44355909694556</v>
      </c>
      <c r="D159" s="166">
        <f t="shared" si="94"/>
        <v>-0.19860973187686426</v>
      </c>
      <c r="E159" s="166">
        <f t="shared" si="91"/>
        <v>0.97119892833221755</v>
      </c>
      <c r="F159" s="169">
        <f t="shared" si="92"/>
        <v>7.4100463127894756</v>
      </c>
      <c r="G159" s="170">
        <f t="shared" si="93"/>
        <v>20.599999999999994</v>
      </c>
      <c r="H159" s="174">
        <f t="shared" si="46"/>
        <v>1.1190713101160861</v>
      </c>
    </row>
    <row r="160" spans="1:8" ht="16.5" customHeight="1">
      <c r="A160" s="163" t="s">
        <v>266</v>
      </c>
      <c r="B160" s="175">
        <f>[2]Diesel_S500!$C271</f>
        <v>3.0130000000000003</v>
      </c>
      <c r="C160" s="165">
        <f t="shared" si="95"/>
        <v>222.29600118046335</v>
      </c>
      <c r="D160" s="166">
        <f t="shared" si="94"/>
        <v>-6.6334991708116853E-2</v>
      </c>
      <c r="E160" s="166">
        <f t="shared" si="91"/>
        <v>0.90421969189551366</v>
      </c>
      <c r="F160" s="169">
        <f t="shared" si="92"/>
        <v>7.3387958674742126</v>
      </c>
      <c r="G160" s="170">
        <f t="shared" si="93"/>
        <v>20.520000000000003</v>
      </c>
      <c r="H160" s="174">
        <f t="shared" si="46"/>
        <v>1.1198141387321603</v>
      </c>
    </row>
    <row r="161" spans="1:8" ht="16.5" customHeight="1">
      <c r="A161" s="163" t="s">
        <v>267</v>
      </c>
      <c r="B161" s="175">
        <f>[2]Diesel_S500!$C272</f>
        <v>3.0100000000000002</v>
      </c>
      <c r="C161" s="165">
        <f t="shared" si="95"/>
        <v>222.07466430574001</v>
      </c>
      <c r="D161" s="166">
        <f t="shared" si="94"/>
        <v>-9.9568536342520275E-2</v>
      </c>
      <c r="E161" s="166">
        <f t="shared" ref="E161" si="96">100*(B161/B$154-1)</f>
        <v>0.80375083724044671</v>
      </c>
      <c r="F161" s="169">
        <f t="shared" ref="F161" si="97">(100*(B161/B149-1))</f>
        <v>7.3083778966131829</v>
      </c>
      <c r="G161" s="170">
        <f t="shared" ref="G161" si="98">100*(B161/B137-1)</f>
        <v>20.448179271708678</v>
      </c>
      <c r="H161" s="174">
        <f t="shared" ref="H161:H211" si="99">+B$211/B161</f>
        <v>1.1209302325581394</v>
      </c>
    </row>
    <row r="162" spans="1:8" ht="16.5" customHeight="1">
      <c r="A162" s="163" t="s">
        <v>268</v>
      </c>
      <c r="B162" s="175">
        <f>[2]Diesel_S500!$C273</f>
        <v>3.0070000000000006</v>
      </c>
      <c r="C162" s="165">
        <f t="shared" si="95"/>
        <v>221.85332743101671</v>
      </c>
      <c r="D162" s="166">
        <f t="shared" ref="D162" si="100">100*(B162/B161-1)</f>
        <v>-9.9667774086364957E-2</v>
      </c>
      <c r="E162" s="166">
        <f t="shared" ref="E162" si="101">100*(B162/B$154-1)</f>
        <v>0.70328198258540198</v>
      </c>
      <c r="F162" s="169">
        <f t="shared" ref="F162" si="102">(100*(B162/B150-1))</f>
        <v>7.4312254376563303</v>
      </c>
      <c r="G162" s="170">
        <f t="shared" ref="G162" si="103">100*(B162/B138-1)</f>
        <v>20.328131252501013</v>
      </c>
      <c r="H162" s="174">
        <f t="shared" si="99"/>
        <v>1.1220485533754569</v>
      </c>
    </row>
    <row r="163" spans="1:8" ht="16.5" customHeight="1">
      <c r="A163" s="163" t="s">
        <v>269</v>
      </c>
      <c r="B163" s="175">
        <f>[2]Diesel_S500!$C274</f>
        <v>3.0059999999999998</v>
      </c>
      <c r="C163" s="165">
        <f t="shared" si="95"/>
        <v>221.77954847277556</v>
      </c>
      <c r="D163" s="166">
        <f t="shared" ref="D163" si="104">100*(B163/B162-1)</f>
        <v>-3.3255736614590248E-2</v>
      </c>
      <c r="E163" s="166">
        <f t="shared" ref="E163" si="105">100*(B163/B$154-1)</f>
        <v>0.66979236436703893</v>
      </c>
      <c r="F163" s="169">
        <f t="shared" ref="F163" si="106">(100*(B163/B151-1))</f>
        <v>6.8610024884464993</v>
      </c>
      <c r="G163" s="170">
        <f t="shared" ref="G163" si="107">100*(B163/B139-1)</f>
        <v>20.191923230707708</v>
      </c>
      <c r="H163" s="174">
        <f t="shared" si="99"/>
        <v>1.1224218230206253</v>
      </c>
    </row>
    <row r="164" spans="1:8" ht="16.5" customHeight="1">
      <c r="A164" s="163" t="s">
        <v>270</v>
      </c>
      <c r="B164" s="175">
        <f>[2]Diesel_S500!$C275</f>
        <v>3.0079999999999996</v>
      </c>
      <c r="C164" s="165">
        <f t="shared" si="95"/>
        <v>221.92710638925777</v>
      </c>
      <c r="D164" s="166">
        <f t="shared" ref="D164" si="108">100*(B164/B163-1)</f>
        <v>6.6533599467732962E-2</v>
      </c>
      <c r="E164" s="166">
        <f t="shared" ref="E164" si="109">100*(B164/B$154-1)</f>
        <v>0.73677160080372062</v>
      </c>
      <c r="F164" s="169">
        <f t="shared" ref="F164" si="110">(100*(B164/B152-1))</f>
        <v>2.6621160409556088</v>
      </c>
      <c r="G164" s="170">
        <f t="shared" ref="G164" si="111">100*(B164/B140-1)</f>
        <v>20.319999999999983</v>
      </c>
      <c r="H164" s="174">
        <f t="shared" si="99"/>
        <v>1.1216755319148937</v>
      </c>
    </row>
    <row r="165" spans="1:8" ht="16.5" customHeight="1">
      <c r="A165" s="163" t="s">
        <v>271</v>
      </c>
      <c r="B165" s="175">
        <f>[2]Diesel_S500!$C276</f>
        <v>2.9839999999999995</v>
      </c>
      <c r="C165" s="165">
        <f t="shared" ref="C165" si="112">100*B165/B$8</f>
        <v>220.15641139147115</v>
      </c>
      <c r="D165" s="166">
        <f t="shared" ref="D165" si="113">100*(B165/B164-1)</f>
        <v>-0.79787234042553168</v>
      </c>
      <c r="E165" s="166">
        <f t="shared" ref="E165" si="114">100*(B165/B$154-1)</f>
        <v>-6.6979236436726097E-2</v>
      </c>
      <c r="F165" s="169">
        <f t="shared" ref="F165" si="115">(100*(B165/B153-1))</f>
        <v>0.23513604299629787</v>
      </c>
      <c r="G165" s="170">
        <f t="shared" ref="G165" si="116">100*(B165/B141-1)</f>
        <v>14.769230769230756</v>
      </c>
      <c r="H165" s="174">
        <f t="shared" si="99"/>
        <v>1.1306970509383378</v>
      </c>
    </row>
    <row r="166" spans="1:8" ht="16.5" customHeight="1">
      <c r="A166" s="163" t="s">
        <v>272</v>
      </c>
      <c r="B166" s="175">
        <f>[2]Diesel_S500!$C277</f>
        <v>3.0509999999999997</v>
      </c>
      <c r="C166" s="165">
        <f t="shared" ref="C166" si="117">100*B166/B$8</f>
        <v>225.09960159362549</v>
      </c>
      <c r="D166" s="166">
        <f t="shared" ref="D166" si="118">100*(B166/B165-1)</f>
        <v>2.2453083109919669</v>
      </c>
      <c r="E166" s="166">
        <f t="shared" ref="E166" si="119">100*(B166/B$154-1)</f>
        <v>2.1768251841928876</v>
      </c>
      <c r="F166" s="169">
        <f t="shared" ref="F166" si="120">(100*(B166/B154-1))</f>
        <v>2.1768251841928876</v>
      </c>
      <c r="G166" s="170">
        <f t="shared" ref="G166" si="121">100*(B166/B142-1)</f>
        <v>17.031070195627152</v>
      </c>
      <c r="H166" s="174">
        <f t="shared" si="99"/>
        <v>1.1058669288757785</v>
      </c>
    </row>
    <row r="167" spans="1:8" ht="16.5" customHeight="1">
      <c r="A167" s="163" t="s">
        <v>273</v>
      </c>
      <c r="B167" s="175">
        <f>[2]Diesel_S500!$C278</f>
        <v>3.1209999999999996</v>
      </c>
      <c r="C167" s="165">
        <f t="shared" ref="C167" si="122">100*B167/B$8</f>
        <v>230.26412867050317</v>
      </c>
      <c r="D167" s="166">
        <f t="shared" ref="D167" si="123">100*(B167/B166-1)</f>
        <v>2.2943297279580444</v>
      </c>
      <c r="E167" s="166">
        <f t="shared" ref="E167:E172" si="124">100*(B167/B$166-1)</f>
        <v>2.2943297279580444</v>
      </c>
      <c r="F167" s="169">
        <f t="shared" ref="F167" si="125">(100*(B167/B155-1))</f>
        <v>3.6877076411959919</v>
      </c>
      <c r="G167" s="170">
        <f t="shared" ref="G167" si="126">100*(B167/B143-1)</f>
        <v>19.441255262150769</v>
      </c>
      <c r="H167" s="174">
        <f t="shared" si="99"/>
        <v>1.0810637616148671</v>
      </c>
    </row>
    <row r="168" spans="1:8" ht="16.5" customHeight="1">
      <c r="A168" s="163" t="s">
        <v>274</v>
      </c>
      <c r="B168" s="175">
        <f>[2]Diesel_S500!$C279</f>
        <v>3.0970000000000004</v>
      </c>
      <c r="C168" s="165">
        <f t="shared" ref="C168" si="127">100*B168/B$8</f>
        <v>228.49343367271658</v>
      </c>
      <c r="D168" s="166">
        <f t="shared" ref="D168" si="128">100*(B168/B167-1)</f>
        <v>-0.76898429990385209</v>
      </c>
      <c r="E168" s="166">
        <f t="shared" si="124"/>
        <v>1.5077023926581612</v>
      </c>
      <c r="F168" s="169">
        <f t="shared" ref="F168" si="129">(100*(B168/B156-1))</f>
        <v>2.5496688741722062</v>
      </c>
      <c r="G168" s="170">
        <f t="shared" ref="G168" si="130">100*(B168/B144-1)</f>
        <v>10.292022792022815</v>
      </c>
      <c r="H168" s="174">
        <f t="shared" si="99"/>
        <v>1.0894413948982884</v>
      </c>
    </row>
    <row r="169" spans="1:8" ht="16.5" customHeight="1">
      <c r="A169" s="163" t="s">
        <v>275</v>
      </c>
      <c r="B169" s="175">
        <f>[2]Diesel_S500!$C280</f>
        <v>3.0419999999999994</v>
      </c>
      <c r="C169" s="165">
        <f t="shared" ref="C169" si="131">100*B169/B$8</f>
        <v>224.43559096945546</v>
      </c>
      <c r="D169" s="166">
        <f t="shared" ref="D169" si="132">100*(B169/B168-1)</f>
        <v>-1.7759121730707483</v>
      </c>
      <c r="E169" s="166">
        <f t="shared" si="124"/>
        <v>-0.29498525073747839</v>
      </c>
      <c r="F169" s="169">
        <f t="shared" ref="F169" si="133">(100*(B169/B157-1))</f>
        <v>0.6951340615689805</v>
      </c>
      <c r="G169" s="170">
        <f t="shared" ref="G169" si="134">100*(B169/B145-1)</f>
        <v>8.2562277580071175</v>
      </c>
      <c r="H169" s="174">
        <f t="shared" si="99"/>
        <v>1.1091387245233399</v>
      </c>
    </row>
    <row r="170" spans="1:8" ht="16.5" customHeight="1">
      <c r="A170" s="163" t="s">
        <v>276</v>
      </c>
      <c r="B170" s="175">
        <f>[2]Diesel_S500!$C281</f>
        <v>3.012</v>
      </c>
      <c r="C170" s="165">
        <f t="shared" ref="C170" si="135">100*B170/B$8</f>
        <v>222.22222222222223</v>
      </c>
      <c r="D170" s="166">
        <f t="shared" ref="D170" si="136">100*(B170/B169-1)</f>
        <v>-0.98619329388558441</v>
      </c>
      <c r="E170" s="166">
        <f t="shared" si="124"/>
        <v>-1.2782694198623323</v>
      </c>
      <c r="F170" s="169">
        <f t="shared" ref="F170" si="137">(100*(B170/B158-1))</f>
        <v>-0.29791459781530749</v>
      </c>
      <c r="G170" s="170">
        <f t="shared" ref="G170" si="138">100*(B170/B146-1)</f>
        <v>7.226771092915607</v>
      </c>
      <c r="H170" s="174">
        <f t="shared" si="99"/>
        <v>1.1201859229747675</v>
      </c>
    </row>
    <row r="171" spans="1:8" ht="16.5" customHeight="1">
      <c r="A171" s="163" t="s">
        <v>277</v>
      </c>
      <c r="B171" s="175">
        <f>[2]Diesel_S500!$C282</f>
        <v>3.0190000000000006</v>
      </c>
      <c r="C171" s="165">
        <f t="shared" ref="C171" si="139">100*B171/B$8</f>
        <v>222.73867492991002</v>
      </c>
      <c r="D171" s="166">
        <f t="shared" ref="D171" si="140">100*(B171/B170-1)</f>
        <v>0.23240371845951735</v>
      </c>
      <c r="E171" s="166">
        <f t="shared" si="124"/>
        <v>-1.0488364470665035</v>
      </c>
      <c r="F171" s="169">
        <f t="shared" ref="F171" si="141">(100*(B171/B159-1))</f>
        <v>0.13266998341625591</v>
      </c>
      <c r="G171" s="170">
        <f t="shared" ref="G171" si="142">100*(B171/B147-1)</f>
        <v>7.552547203420068</v>
      </c>
      <c r="H171" s="174">
        <f t="shared" si="99"/>
        <v>1.1175886054985091</v>
      </c>
    </row>
    <row r="172" spans="1:8" ht="16.5" customHeight="1">
      <c r="A172" s="163" t="s">
        <v>278</v>
      </c>
      <c r="B172" s="175">
        <f>[2]Diesel_S500!$C283</f>
        <v>2.9580000000000006</v>
      </c>
      <c r="C172" s="165">
        <f t="shared" ref="C172" si="143">100*B172/B$8</f>
        <v>218.23815847720238</v>
      </c>
      <c r="D172" s="166">
        <f t="shared" ref="D172" si="144">100*(B172/B171-1)</f>
        <v>-2.0205366015236814</v>
      </c>
      <c r="E172" s="166">
        <f t="shared" si="124"/>
        <v>-3.0481809242870916</v>
      </c>
      <c r="F172" s="169">
        <f t="shared" ref="F172" si="145">(100*(B172/B160-1))</f>
        <v>-1.8254231662794496</v>
      </c>
      <c r="G172" s="170">
        <f t="shared" ref="G172" si="146">100*(B172/B148-1)</f>
        <v>5.3794086213039272</v>
      </c>
      <c r="H172" s="174">
        <f t="shared" si="99"/>
        <v>1.1406355645706554</v>
      </c>
    </row>
    <row r="173" spans="1:8" ht="16.5" customHeight="1">
      <c r="A173" s="163" t="s">
        <v>279</v>
      </c>
      <c r="B173" s="175">
        <f>[2]Diesel_S500!$C284</f>
        <v>3.0560000000000005</v>
      </c>
      <c r="C173" s="165">
        <f t="shared" ref="C173" si="147">100*B173/B$8</f>
        <v>225.46849638483107</v>
      </c>
      <c r="D173" s="166">
        <f t="shared" ref="D173" si="148">100*(B173/B172-1)</f>
        <v>3.3130493576740916</v>
      </c>
      <c r="E173" s="166">
        <f t="shared" ref="E173" si="149">100*(B173/B$166-1)</f>
        <v>0.16388069485417933</v>
      </c>
      <c r="F173" s="169">
        <f t="shared" ref="F173" si="150">(100*(B173/B161-1))</f>
        <v>1.5282392026578107</v>
      </c>
      <c r="G173" s="170">
        <f t="shared" ref="G173" si="151">100*(B173/B149-1)</f>
        <v>8.9483065953654304</v>
      </c>
      <c r="H173" s="174">
        <f t="shared" si="99"/>
        <v>1.1040575916230364</v>
      </c>
    </row>
    <row r="174" spans="1:8" ht="16.5" customHeight="1">
      <c r="A174" s="163" t="s">
        <v>280</v>
      </c>
      <c r="B174" s="175">
        <f>[2]Diesel_S500!$C285</f>
        <v>3.1030000000000006</v>
      </c>
      <c r="C174" s="165">
        <f t="shared" ref="C174" si="152">100*B174/B$8</f>
        <v>228.93610742216325</v>
      </c>
      <c r="D174" s="166">
        <f t="shared" ref="D174" si="153">100*(B174/B173-1)</f>
        <v>1.5379581151832467</v>
      </c>
      <c r="E174" s="166">
        <f t="shared" ref="E174" si="154">100*(B174/B$166-1)</f>
        <v>1.7043592264831542</v>
      </c>
      <c r="F174" s="169">
        <f t="shared" ref="F174" si="155">(100*(B174/B162-1))</f>
        <v>3.1925507149983323</v>
      </c>
      <c r="G174" s="170">
        <f t="shared" ref="G174" si="156">100*(B174/B150-1)</f>
        <v>10.861021793497706</v>
      </c>
      <c r="H174" s="174">
        <f t="shared" si="99"/>
        <v>1.0873348372542697</v>
      </c>
    </row>
    <row r="175" spans="1:8" ht="16.5" customHeight="1">
      <c r="A175" s="163" t="s">
        <v>281</v>
      </c>
      <c r="B175" s="175">
        <f>[2]Diesel_S500!$C286</f>
        <v>3.2010000000000001</v>
      </c>
      <c r="C175" s="165">
        <f t="shared" ref="C175" si="157">100*B175/B$8</f>
        <v>236.16644532979197</v>
      </c>
      <c r="D175" s="166">
        <f t="shared" ref="D175" si="158">100*(B175/B174-1)</f>
        <v>3.1582339671285764</v>
      </c>
      <c r="E175" s="166">
        <f t="shared" ref="E175" si="159">100*(B175/B$166-1)</f>
        <v>4.916420845624403</v>
      </c>
      <c r="F175" s="169">
        <f t="shared" ref="F175" si="160">(100*(B175/B163-1))</f>
        <v>6.4870259481037973</v>
      </c>
      <c r="G175" s="170">
        <f t="shared" ref="G175" si="161">100*(B175/B151-1)</f>
        <v>13.793103448275868</v>
      </c>
      <c r="H175" s="174">
        <f t="shared" si="99"/>
        <v>1.0540456107466416</v>
      </c>
    </row>
    <row r="176" spans="1:8" ht="16.5" customHeight="1">
      <c r="A176" s="163" t="s">
        <v>282</v>
      </c>
      <c r="B176" s="175">
        <f>[2]Diesel_S500!$C287</f>
        <v>3.2139999999999995</v>
      </c>
      <c r="C176" s="165">
        <f t="shared" ref="C176" si="162">100*B176/B$8</f>
        <v>237.12557178692637</v>
      </c>
      <c r="D176" s="166">
        <f t="shared" ref="D176" si="163">100*(B176/B175-1)</f>
        <v>0.40612308653544815</v>
      </c>
      <c r="E176" s="166">
        <f t="shared" ref="E176" si="164">100*(B176/B$166-1)</f>
        <v>5.3425106522451582</v>
      </c>
      <c r="F176" s="169">
        <f t="shared" ref="F176" si="165">(100*(B176/B164-1))</f>
        <v>6.8484042553191404</v>
      </c>
      <c r="G176" s="170">
        <f t="shared" ref="G176" si="166">100*(B176/B152-1)</f>
        <v>9.6928327645050985</v>
      </c>
      <c r="H176" s="174">
        <f t="shared" si="99"/>
        <v>1.0497822028624768</v>
      </c>
    </row>
    <row r="177" spans="1:8" ht="16.5" customHeight="1">
      <c r="A177" s="163" t="s">
        <v>283</v>
      </c>
      <c r="B177" s="175">
        <f>[2]Diesel_S500!$C288</f>
        <v>3.3030000000000004</v>
      </c>
      <c r="C177" s="165">
        <f t="shared" ref="C177" si="167">100*B177/B$8</f>
        <v>243.69189907038515</v>
      </c>
      <c r="D177" s="166">
        <f t="shared" ref="D177" si="168">100*(B177/B176-1)</f>
        <v>2.7691350342252896</v>
      </c>
      <c r="E177" s="166">
        <f t="shared" ref="E177" si="169">100*(B177/B$166-1)</f>
        <v>8.2595870206489952</v>
      </c>
      <c r="F177" s="169">
        <f t="shared" ref="F177" si="170">(100*(B177/B165-1))</f>
        <v>10.690348525469195</v>
      </c>
      <c r="G177" s="170">
        <f t="shared" ref="G177" si="171">100*(B177/B153-1)</f>
        <v>10.950621430970786</v>
      </c>
      <c r="H177" s="174">
        <f t="shared" si="99"/>
        <v>1.0214956100514681</v>
      </c>
    </row>
    <row r="178" spans="1:8" ht="16.5" customHeight="1">
      <c r="A178" s="163" t="s">
        <v>285</v>
      </c>
      <c r="B178" s="175">
        <f>[2]Diesel_S500!$C289</f>
        <v>3.3260000000000001</v>
      </c>
      <c r="C178" s="165">
        <f t="shared" ref="C178" si="172">100*B178/B$8</f>
        <v>245.38881510993068</v>
      </c>
      <c r="D178" s="166">
        <f t="shared" ref="D178" si="173">100*(B178/B177-1)</f>
        <v>0.69633666363910773</v>
      </c>
      <c r="E178" s="166">
        <f t="shared" ref="E178" si="174">100*(B178/B$166-1)</f>
        <v>9.0134382169780416</v>
      </c>
      <c r="F178" s="169">
        <f t="shared" ref="F178" si="175">(100*(B178/B166-1))</f>
        <v>9.0134382169780416</v>
      </c>
      <c r="G178" s="170">
        <f t="shared" ref="G178" si="176">100*(B178/B154-1)</f>
        <v>11.386470194239774</v>
      </c>
      <c r="H178" s="174">
        <f t="shared" si="99"/>
        <v>1.0144317498496691</v>
      </c>
    </row>
    <row r="179" spans="1:8" ht="16.5" customHeight="1">
      <c r="A179" s="163" t="s">
        <v>286</v>
      </c>
      <c r="B179" s="175">
        <f>[2]Diesel_S500!$C290</f>
        <v>3.3809999999999998</v>
      </c>
      <c r="C179" s="165">
        <f t="shared" ref="C179" si="177">100*B179/B$8</f>
        <v>249.44665781319168</v>
      </c>
      <c r="D179" s="166">
        <f t="shared" ref="D179" si="178">100*(B179/B178-1)</f>
        <v>1.6536380036079379</v>
      </c>
      <c r="E179" s="166">
        <f t="shared" ref="E179:E184" si="179">100*(B179/B$178-1)</f>
        <v>1.6536380036079379</v>
      </c>
      <c r="F179" s="169">
        <f t="shared" ref="F179" si="180">(100*(B179/B167-1))</f>
        <v>8.3306632489586807</v>
      </c>
      <c r="G179" s="170">
        <f t="shared" ref="G179" si="181">100*(B179/B155-1)</f>
        <v>12.325581395348827</v>
      </c>
      <c r="H179" s="174">
        <f t="shared" si="99"/>
        <v>0.99792960662525876</v>
      </c>
    </row>
    <row r="180" spans="1:8" ht="16.5" customHeight="1">
      <c r="A180" s="163" t="s">
        <v>287</v>
      </c>
      <c r="B180" s="175">
        <f>[2]Diesel_S500!$C291</f>
        <v>3.3829999999999996</v>
      </c>
      <c r="C180" s="165">
        <f t="shared" ref="C180" si="182">100*B180/B$8</f>
        <v>249.59421572967386</v>
      </c>
      <c r="D180" s="166">
        <f t="shared" ref="D180" si="183">100*(B180/B179-1)</f>
        <v>5.9154096421165647E-2</v>
      </c>
      <c r="E180" s="166">
        <f t="shared" si="179"/>
        <v>1.7137702946482092</v>
      </c>
      <c r="F180" s="169">
        <f t="shared" ref="F180" si="184">(100*(B180/B168-1))</f>
        <v>9.2347432999676737</v>
      </c>
      <c r="G180" s="170">
        <f t="shared" ref="G180" si="185">100*(B180/B156-1)</f>
        <v>12.019867549668861</v>
      </c>
      <c r="H180" s="174">
        <f t="shared" si="99"/>
        <v>0.99733963937333725</v>
      </c>
    </row>
    <row r="181" spans="1:8" ht="16.5" customHeight="1">
      <c r="A181" s="163" t="s">
        <v>288</v>
      </c>
      <c r="B181" s="175">
        <f>[2]Diesel_S500!$C292</f>
        <v>3.3909999999999991</v>
      </c>
      <c r="C181" s="165">
        <f t="shared" ref="C181" si="186">100*B181/B$8</f>
        <v>250.18444739560272</v>
      </c>
      <c r="D181" s="166">
        <f t="shared" ref="D181" si="187">100*(B181/B180-1)</f>
        <v>0.23647650014777533</v>
      </c>
      <c r="E181" s="166">
        <f t="shared" si="179"/>
        <v>1.954299458809361</v>
      </c>
      <c r="F181" s="169">
        <f t="shared" ref="F181" si="188">(100*(B181/B169-1))</f>
        <v>11.472715318869152</v>
      </c>
      <c r="G181" s="170">
        <f t="shared" ref="G181" si="189">100*(B181/B157-1)</f>
        <v>12.247600132406443</v>
      </c>
      <c r="H181" s="174">
        <f t="shared" si="99"/>
        <v>0.99498672957829559</v>
      </c>
    </row>
    <row r="182" spans="1:8" ht="16.5" customHeight="1">
      <c r="A182" s="163" t="s">
        <v>289</v>
      </c>
      <c r="B182" s="175">
        <f>[2]Diesel_S500!$C293</f>
        <v>3.4710000000000001</v>
      </c>
      <c r="C182" s="165">
        <f t="shared" ref="C182" si="190">100*B182/B$8</f>
        <v>256.08676405489155</v>
      </c>
      <c r="D182" s="166">
        <f t="shared" ref="D182" si="191">100*(B182/B181-1)</f>
        <v>2.3591860808021448</v>
      </c>
      <c r="E182" s="166">
        <f t="shared" si="179"/>
        <v>4.3595911004209231</v>
      </c>
      <c r="F182" s="169">
        <f t="shared" ref="F182" si="192">(100*(B182/B170-1))</f>
        <v>15.239043824701204</v>
      </c>
      <c r="G182" s="170">
        <f t="shared" ref="G182" si="193">100*(B182/B158-1)</f>
        <v>14.895729890764642</v>
      </c>
      <c r="H182" s="174">
        <f t="shared" si="99"/>
        <v>0.97205416306539894</v>
      </c>
    </row>
    <row r="183" spans="1:8" ht="16.5" customHeight="1">
      <c r="A183" s="163" t="s">
        <v>290</v>
      </c>
      <c r="B183" s="175">
        <f>[2]Diesel_S500!$C294</f>
        <v>3.7879999999999998</v>
      </c>
      <c r="C183" s="165">
        <f t="shared" ref="C183" si="194">100*B183/B$8</f>
        <v>279.47469381732327</v>
      </c>
      <c r="D183" s="166">
        <f t="shared" ref="D183" si="195">100*(B183/B182-1)</f>
        <v>9.1328147507922619</v>
      </c>
      <c r="E183" s="166">
        <f t="shared" si="179"/>
        <v>13.890559230306664</v>
      </c>
      <c r="F183" s="169">
        <f t="shared" ref="F183" si="196">(100*(B183/B171-1))</f>
        <v>25.472010599536233</v>
      </c>
      <c r="G183" s="170">
        <f t="shared" ref="G183" si="197">100*(B183/B159-1)</f>
        <v>25.638474295190704</v>
      </c>
      <c r="H183" s="174">
        <f t="shared" si="99"/>
        <v>0.89070749736008448</v>
      </c>
    </row>
    <row r="184" spans="1:8" ht="16.5" customHeight="1">
      <c r="A184" s="163" t="s">
        <v>291</v>
      </c>
      <c r="B184" s="175">
        <f>[2]Diesel_S500!$C295</f>
        <v>3.3889999999999998</v>
      </c>
      <c r="C184" s="165">
        <f t="shared" ref="C184" si="198">100*B184/B$8</f>
        <v>250.03688947912056</v>
      </c>
      <c r="D184" s="166">
        <f t="shared" ref="D184" si="199">100*(B184/B183-1)</f>
        <v>-10.533262935586063</v>
      </c>
      <c r="E184" s="166">
        <f t="shared" si="179"/>
        <v>1.8941671677690897</v>
      </c>
      <c r="F184" s="169">
        <f t="shared" ref="F184" si="200">(100*(B184/B172-1))</f>
        <v>14.570655848546288</v>
      </c>
      <c r="G184" s="170">
        <f t="shared" ref="G184" si="201">100*(B184/B160-1)</f>
        <v>12.479256554928631</v>
      </c>
      <c r="H184" s="174">
        <f t="shared" si="99"/>
        <v>0.99557391560932429</v>
      </c>
    </row>
    <row r="185" spans="1:8" ht="16.5" customHeight="1">
      <c r="A185" s="163" t="s">
        <v>294</v>
      </c>
      <c r="B185" s="175">
        <f>[2]Diesel_S500!$C296</f>
        <v>3.3780000000000001</v>
      </c>
      <c r="C185" s="165">
        <f t="shared" ref="C185" si="202">100*B185/B$8</f>
        <v>249.22532093846837</v>
      </c>
      <c r="D185" s="166">
        <f t="shared" ref="D185" si="203">100*(B185/B184-1)</f>
        <v>-0.32457952198288176</v>
      </c>
      <c r="E185" s="166">
        <f t="shared" ref="E185" si="204">100*(B185/B$178-1)</f>
        <v>1.5634395670474976</v>
      </c>
      <c r="F185" s="169">
        <f t="shared" ref="F185" si="205">(100*(B185/B173-1))</f>
        <v>10.536649214659665</v>
      </c>
      <c r="G185" s="170">
        <f t="shared" ref="G185" si="206">100*(B185/B161-1)</f>
        <v>12.225913621262464</v>
      </c>
      <c r="H185" s="174">
        <f t="shared" si="99"/>
        <v>0.99881586737714612</v>
      </c>
    </row>
    <row r="186" spans="1:8" ht="16.5" customHeight="1">
      <c r="A186" s="163" t="s">
        <v>295</v>
      </c>
      <c r="B186" s="175">
        <f>[2]Diesel_S500!$C297</f>
        <v>3.3709999999999996</v>
      </c>
      <c r="C186" s="165">
        <f t="shared" ref="C186" si="207">100*B186/B$8</f>
        <v>248.70886823078058</v>
      </c>
      <c r="D186" s="166">
        <f t="shared" ref="D186" si="208">100*(B186/B185-1)</f>
        <v>-0.2072232089994297</v>
      </c>
      <c r="E186" s="166">
        <f t="shared" ref="E186" si="209">100*(B186/B$178-1)</f>
        <v>1.3529765484064704</v>
      </c>
      <c r="F186" s="169">
        <f t="shared" ref="F186" si="210">(100*(B186/B174-1))</f>
        <v>8.6368030937801663</v>
      </c>
      <c r="G186" s="170">
        <f t="shared" ref="G186" si="211">100*(B186/B162-1)</f>
        <v>12.10508812770199</v>
      </c>
      <c r="H186" s="174">
        <f t="shared" si="99"/>
        <v>1.000889943636903</v>
      </c>
    </row>
    <row r="187" spans="1:8" ht="16.5" customHeight="1">
      <c r="A187" s="163" t="s">
        <v>296</v>
      </c>
      <c r="B187" s="175">
        <f>[2]Diesel_S500!$C298</f>
        <v>3.6550000000000002</v>
      </c>
      <c r="C187" s="165">
        <f t="shared" ref="C187" si="212">100*B187/B$8</f>
        <v>269.66209237125571</v>
      </c>
      <c r="D187" s="166">
        <f t="shared" ref="D187" si="213">100*(B187/B186-1)</f>
        <v>8.4247997626817117</v>
      </c>
      <c r="E187" s="166">
        <f t="shared" ref="E187" si="214">100*(B187/B$178-1)</f>
        <v>9.8917618761274806</v>
      </c>
      <c r="F187" s="169">
        <f t="shared" ref="F187" si="215">(100*(B187/B175-1))</f>
        <v>14.183067791315217</v>
      </c>
      <c r="G187" s="170">
        <f t="shared" ref="G187" si="216">100*(B187/B163-1)</f>
        <v>21.590153027278802</v>
      </c>
      <c r="H187" s="174">
        <f t="shared" si="99"/>
        <v>0.92311901504787941</v>
      </c>
    </row>
    <row r="188" spans="1:8" ht="16.5" customHeight="1">
      <c r="A188" s="163" t="s">
        <v>297</v>
      </c>
      <c r="B188" s="175">
        <f>[2]Diesel_S500!$C299</f>
        <v>3.7210000000000001</v>
      </c>
      <c r="C188" s="165">
        <f t="shared" ref="C188" si="217">100*B188/B$8</f>
        <v>274.53150361516896</v>
      </c>
      <c r="D188" s="166">
        <f t="shared" ref="D188" si="218">100*(B188/B187-1)</f>
        <v>1.8057455540355649</v>
      </c>
      <c r="E188" s="166">
        <f t="shared" ref="E188" si="219">100*(B188/B$178-1)</f>
        <v>11.876127480457011</v>
      </c>
      <c r="F188" s="169">
        <f t="shared" ref="F188" si="220">(100*(B188/B176-1))</f>
        <v>15.774735532047313</v>
      </c>
      <c r="G188" s="170">
        <f t="shared" ref="G188" si="221">100*(B188/B164-1)</f>
        <v>23.703457446808528</v>
      </c>
      <c r="H188" s="174">
        <f t="shared" si="99"/>
        <v>0.90674549852190256</v>
      </c>
    </row>
    <row r="189" spans="1:8" ht="16.5" customHeight="1">
      <c r="A189" s="163" t="s">
        <v>298</v>
      </c>
      <c r="B189" s="175">
        <f>[2]Diesel_S500!$C300</f>
        <v>3.6499999999999995</v>
      </c>
      <c r="C189" s="165">
        <f t="shared" ref="C189" si="222">100*B189/B$8</f>
        <v>269.29319758005016</v>
      </c>
      <c r="D189" s="166">
        <f t="shared" ref="D189" si="223">100*(B189/B188-1)</f>
        <v>-1.9080892233270808</v>
      </c>
      <c r="E189" s="166">
        <f t="shared" ref="E189" si="224">100*(B189/B$178-1)</f>
        <v>9.7414311485267469</v>
      </c>
      <c r="F189" s="169">
        <f t="shared" ref="F189" si="225">(100*(B189/B177-1))</f>
        <v>10.505600968816209</v>
      </c>
      <c r="G189" s="170">
        <f t="shared" ref="G189" si="226">100*(B189/B165-1)</f>
        <v>22.319034852546913</v>
      </c>
      <c r="H189" s="174">
        <f t="shared" si="99"/>
        <v>0.92438356164383562</v>
      </c>
    </row>
    <row r="190" spans="1:8" ht="16.5" customHeight="1">
      <c r="A190" s="163" t="s">
        <v>299</v>
      </c>
      <c r="B190" s="175">
        <f>[2]Diesel_S500!$C301</f>
        <v>3.4510000000000001</v>
      </c>
      <c r="C190" s="165">
        <f t="shared" ref="C190" si="227">100*B190/B$8</f>
        <v>254.61118489006938</v>
      </c>
      <c r="D190" s="166">
        <f t="shared" ref="D190" si="228">100*(B190/B189-1)</f>
        <v>-5.4520547945205333</v>
      </c>
      <c r="E190" s="166">
        <f t="shared" ref="E190" si="229">100*(B190/B$178-1)</f>
        <v>3.7582681900180326</v>
      </c>
      <c r="F190" s="169">
        <f t="shared" ref="F190" si="230">(100*(B190/B178-1))</f>
        <v>3.7582681900180326</v>
      </c>
      <c r="G190" s="170">
        <f t="shared" ref="G190" si="231">100*(B190/B166-1)</f>
        <v>13.110455588331703</v>
      </c>
      <c r="H190" s="174">
        <f t="shared" si="99"/>
        <v>0.97768762677484777</v>
      </c>
    </row>
    <row r="191" spans="1:8" ht="16.5" customHeight="1">
      <c r="A191" s="163" t="s">
        <v>300</v>
      </c>
      <c r="B191" s="175">
        <f>[2]Diesel_S500!$C302</f>
        <v>3.4329999999999998</v>
      </c>
      <c r="C191" s="165">
        <f t="shared" ref="C191" si="232">100*B191/B$8</f>
        <v>253.28316364172935</v>
      </c>
      <c r="D191" s="166">
        <f t="shared" ref="D191" si="233">100*(B191/B190-1)</f>
        <v>-0.52158794552303878</v>
      </c>
      <c r="E191" s="166">
        <f t="shared" ref="E191:E196" si="234">100*(B191/B$190-1)</f>
        <v>-0.52158794552303878</v>
      </c>
      <c r="F191" s="169">
        <f t="shared" ref="F191" si="235">(100*(B191/B179-1))</f>
        <v>1.5380065069506177</v>
      </c>
      <c r="G191" s="170">
        <f t="shared" ref="G191" si="236">100*(B191/B167-1)</f>
        <v>9.9967958987504204</v>
      </c>
      <c r="H191" s="174">
        <f t="shared" si="99"/>
        <v>0.98281386542382754</v>
      </c>
    </row>
    <row r="192" spans="1:8" ht="16.5" customHeight="1">
      <c r="A192" s="163" t="s">
        <v>301</v>
      </c>
      <c r="B192" s="175">
        <f>[2]Diesel_S500!$C303</f>
        <v>3.4439999999999995</v>
      </c>
      <c r="C192" s="165">
        <f t="shared" ref="C192" si="237">100*B192/B$8</f>
        <v>254.09473218238159</v>
      </c>
      <c r="D192" s="166">
        <f t="shared" ref="D192" si="238">100*(B192/B191-1)</f>
        <v>0.32041945819980544</v>
      </c>
      <c r="E192" s="166">
        <f t="shared" si="234"/>
        <v>-0.20283975659231013</v>
      </c>
      <c r="F192" s="169">
        <f t="shared" ref="F192" si="239">(100*(B192/B180-1))</f>
        <v>1.8031333136269589</v>
      </c>
      <c r="G192" s="170">
        <f t="shared" ref="G192" si="240">100*(B192/B168-1)</f>
        <v>11.204391346464293</v>
      </c>
      <c r="H192" s="174">
        <f t="shared" si="99"/>
        <v>0.97967479674796754</v>
      </c>
    </row>
    <row r="193" spans="1:8" ht="16.5" customHeight="1">
      <c r="A193" s="196" t="s">
        <v>302</v>
      </c>
      <c r="B193" s="272">
        <f>[2]Diesel_S500!$C304</f>
        <v>3.5539999999999994</v>
      </c>
      <c r="C193" s="197">
        <f t="shared" ref="C193" si="241">100*B193/B$8</f>
        <v>262.21041758890362</v>
      </c>
      <c r="D193" s="198">
        <f t="shared" ref="D193" si="242">100*(B193/B192-1)</f>
        <v>3.1939605110336888</v>
      </c>
      <c r="E193" s="198">
        <f t="shared" si="234"/>
        <v>2.9846421327151429</v>
      </c>
      <c r="F193" s="199">
        <f t="shared" ref="F193" si="243">(100*(B193/B181-1))</f>
        <v>4.8068416396343405</v>
      </c>
      <c r="G193" s="200">
        <f t="shared" ref="G193" si="244">100*(B193/B169-1)</f>
        <v>16.83103221564761</v>
      </c>
      <c r="H193" s="174">
        <f t="shared" si="99"/>
        <v>0.94935284186831748</v>
      </c>
    </row>
    <row r="194" spans="1:8" ht="16.5" customHeight="1">
      <c r="A194" s="196" t="s">
        <v>303</v>
      </c>
      <c r="B194" s="272">
        <f>[2]Diesel_S500!$C305</f>
        <v>3.6140000000000003</v>
      </c>
      <c r="C194" s="197">
        <f t="shared" ref="C194" si="245">100*B194/B$8</f>
        <v>266.63715508337026</v>
      </c>
      <c r="D194" s="198">
        <f t="shared" ref="D194" si="246">100*(B194/B193-1)</f>
        <v>1.6882386043894471</v>
      </c>
      <c r="E194" s="198">
        <f t="shared" si="234"/>
        <v>4.7232686177919536</v>
      </c>
      <c r="F194" s="199">
        <f t="shared" ref="F194" si="247">(100*(B194/B182-1))</f>
        <v>4.1198501872659277</v>
      </c>
      <c r="G194" s="200">
        <f t="shared" ref="G194" si="248">100*(B194/B170-1)</f>
        <v>19.986719787516606</v>
      </c>
      <c r="H194" s="174">
        <f t="shared" si="99"/>
        <v>0.93359158826784705</v>
      </c>
    </row>
    <row r="195" spans="1:8" ht="16.5" customHeight="1">
      <c r="A195" s="196" t="s">
        <v>304</v>
      </c>
      <c r="B195" s="272">
        <f>[2]Diesel_S500!$C306</f>
        <v>3.6539999999999999</v>
      </c>
      <c r="C195" s="197">
        <f t="shared" ref="C195" si="249">100*B195/B$8</f>
        <v>269.58831341301459</v>
      </c>
      <c r="D195" s="198">
        <f t="shared" ref="D195" si="250">100*(B195/B194-1)</f>
        <v>1.1068068622025251</v>
      </c>
      <c r="E195" s="198">
        <f t="shared" si="234"/>
        <v>5.8823529411764719</v>
      </c>
      <c r="F195" s="199">
        <f t="shared" ref="F195" si="251">(100*(B195/B183-1))</f>
        <v>-3.5374868004223847</v>
      </c>
      <c r="G195" s="200">
        <f t="shared" ref="G195" si="252">100*(B195/B171-1)</f>
        <v>21.033454786353079</v>
      </c>
      <c r="H195" s="174">
        <f t="shared" si="99"/>
        <v>0.92337164750957845</v>
      </c>
    </row>
    <row r="196" spans="1:8" ht="16.5" customHeight="1">
      <c r="A196" s="196" t="s">
        <v>305</v>
      </c>
      <c r="B196" s="272">
        <f>[2]Diesel_S500!$C307</f>
        <v>3.57</v>
      </c>
      <c r="C196" s="197">
        <f t="shared" ref="C196" si="253">100*B196/B$8</f>
        <v>263.39088092076139</v>
      </c>
      <c r="D196" s="198">
        <f t="shared" ref="D196" si="254">100*(B196/B195-1)</f>
        <v>-2.2988505747126409</v>
      </c>
      <c r="E196" s="198">
        <f t="shared" si="234"/>
        <v>3.4482758620689502</v>
      </c>
      <c r="F196" s="199">
        <f t="shared" ref="F196" si="255">(100*(B196/B184-1))</f>
        <v>5.3408084980820281</v>
      </c>
      <c r="G196" s="200">
        <f t="shared" ref="G196" si="256">100*(B196/B172-1)</f>
        <v>20.689655172413769</v>
      </c>
      <c r="H196" s="174">
        <f t="shared" si="99"/>
        <v>0.94509803921568625</v>
      </c>
    </row>
    <row r="197" spans="1:8" ht="16.5" customHeight="1">
      <c r="A197" s="196" t="s">
        <v>306</v>
      </c>
      <c r="B197" s="272">
        <f>[2]Diesel_S500!$C308</f>
        <v>3.5369999999999995</v>
      </c>
      <c r="C197" s="197">
        <f t="shared" ref="C197" si="257">100*B197/B$8</f>
        <v>260.95617529880474</v>
      </c>
      <c r="D197" s="198">
        <f t="shared" ref="D197" si="258">100*(B197/B196-1)</f>
        <v>-0.92436974789916748</v>
      </c>
      <c r="E197" s="198">
        <f t="shared" ref="E197" si="259">100*(B197/B$190-1)</f>
        <v>2.4920312952767087</v>
      </c>
      <c r="F197" s="199">
        <f t="shared" ref="F197" si="260">(100*(B197/B185-1))</f>
        <v>4.706927175843667</v>
      </c>
      <c r="G197" s="200">
        <f t="shared" ref="G197" si="261">100*(B197/B173-1)</f>
        <v>15.739528795811486</v>
      </c>
      <c r="H197" s="174">
        <f t="shared" si="99"/>
        <v>0.95391574780887767</v>
      </c>
    </row>
    <row r="198" spans="1:8" ht="16.5" customHeight="1">
      <c r="A198" s="196" t="s">
        <v>307</v>
      </c>
      <c r="B198" s="272">
        <f>[2]Diesel_S500!$C309</f>
        <v>3.5159999999999991</v>
      </c>
      <c r="C198" s="197">
        <f t="shared" ref="C198" si="262">100*B198/B$8</f>
        <v>259.40681717574142</v>
      </c>
      <c r="D198" s="198">
        <f t="shared" ref="D198" si="263">100*(B198/B197-1)</f>
        <v>-0.59372349448686412</v>
      </c>
      <c r="E198" s="198">
        <f t="shared" ref="E198" si="264">100*(B198/B$190-1)</f>
        <v>1.8835120254998339</v>
      </c>
      <c r="F198" s="199">
        <f t="shared" ref="F198" si="265">(100*(B198/B186-1))</f>
        <v>4.3013942450311315</v>
      </c>
      <c r="G198" s="200">
        <f t="shared" ref="G198" si="266">100*(B198/B174-1)</f>
        <v>13.309700290041837</v>
      </c>
      <c r="H198" s="174">
        <f t="shared" si="99"/>
        <v>0.95961319681456214</v>
      </c>
    </row>
    <row r="199" spans="1:8" ht="16.5" customHeight="1">
      <c r="A199" s="196" t="s">
        <v>308</v>
      </c>
      <c r="B199" s="272">
        <f>[2]Diesel_S500!$C310</f>
        <v>3.6700000000000008</v>
      </c>
      <c r="C199" s="197">
        <f t="shared" ref="C199" si="267">100*B199/B$8</f>
        <v>270.76877674487241</v>
      </c>
      <c r="D199" s="198">
        <f t="shared" ref="D199" si="268">100*(B199/B198-1)</f>
        <v>4.3799772468714915</v>
      </c>
      <c r="E199" s="198">
        <f t="shared" ref="E199" si="269">100*(B199/B$190-1)</f>
        <v>6.3459866705303014</v>
      </c>
      <c r="F199" s="199">
        <f t="shared" ref="F199" si="270">(100*(B199/B187-1))</f>
        <v>0.41039671682627787</v>
      </c>
      <c r="G199" s="200">
        <f t="shared" ref="G199" si="271">100*(B199/B175-1)</f>
        <v>14.651671352702312</v>
      </c>
      <c r="H199" s="174">
        <f t="shared" si="99"/>
        <v>0.91934604904632122</v>
      </c>
    </row>
    <row r="200" spans="1:8" ht="16.5" customHeight="1">
      <c r="A200" s="196" t="s">
        <v>309</v>
      </c>
      <c r="B200" s="272">
        <f>[2]Diesel_S500!$C311</f>
        <v>3.7120000000000002</v>
      </c>
      <c r="C200" s="197">
        <f t="shared" ref="C200" si="272">100*B200/B$8</f>
        <v>273.86749299099904</v>
      </c>
      <c r="D200" s="198">
        <f t="shared" ref="D200" si="273">100*(B200/B199-1)</f>
        <v>1.1444141689373133</v>
      </c>
      <c r="E200" s="198">
        <f t="shared" ref="E200" si="274">100*(B200/B$190-1)</f>
        <v>7.5630252100840289</v>
      </c>
      <c r="F200" s="199">
        <f t="shared" ref="F200" si="275">(100*(B200/B188-1))</f>
        <v>-0.24187046492878395</v>
      </c>
      <c r="G200" s="200">
        <f t="shared" ref="G200" si="276">100*(B200/B176-1)</f>
        <v>15.494710640945875</v>
      </c>
      <c r="H200" s="174">
        <f t="shared" si="99"/>
        <v>0.90894396551724121</v>
      </c>
    </row>
    <row r="201" spans="1:8" ht="16.5" customHeight="1">
      <c r="A201" s="196" t="s">
        <v>310</v>
      </c>
      <c r="B201" s="272">
        <f>[2]Diesel_S500!$C312</f>
        <v>3.7079999999999993</v>
      </c>
      <c r="C201" s="197">
        <f t="shared" ref="C201" si="277">100*B201/B$8</f>
        <v>273.5723771580345</v>
      </c>
      <c r="D201" s="198">
        <f t="shared" ref="D201" si="278">100*(B201/B200-1)</f>
        <v>-0.10775862068967967</v>
      </c>
      <c r="E201" s="198">
        <f t="shared" ref="E201" si="279">100*(B201/B$190-1)</f>
        <v>7.447116777745566</v>
      </c>
      <c r="F201" s="199">
        <f t="shared" ref="F201" si="280">(100*(B201/B189-1))</f>
        <v>1.5890410958903978</v>
      </c>
      <c r="G201" s="200">
        <f t="shared" ref="G201" si="281">100*(B201/B177-1)</f>
        <v>12.26158038147136</v>
      </c>
      <c r="H201" s="174">
        <f t="shared" si="99"/>
        <v>0.9099244875943906</v>
      </c>
    </row>
    <row r="202" spans="1:8" ht="16.5" customHeight="1">
      <c r="A202" s="196" t="s">
        <v>311</v>
      </c>
      <c r="B202" s="272">
        <f>[2]Diesel_S500!$C313</f>
        <v>3.7510000000000003</v>
      </c>
      <c r="C202" s="197">
        <f t="shared" ref="C202" si="282">100*B202/B$8</f>
        <v>276.74487236240225</v>
      </c>
      <c r="D202" s="198">
        <f t="shared" ref="D202" si="283">100*(B202/B201-1)</f>
        <v>1.1596548004315199</v>
      </c>
      <c r="E202" s="198">
        <f t="shared" ref="E202" si="284">100*(B202/B$190-1)</f>
        <v>8.6931324253839648</v>
      </c>
      <c r="F202" s="199">
        <f t="shared" ref="F202" si="285">(100*(B202/B190-1))</f>
        <v>8.6931324253839648</v>
      </c>
      <c r="G202" s="200">
        <f t="shared" ref="G202" si="286">100*(B202/B178-1)</f>
        <v>12.778111846061346</v>
      </c>
      <c r="H202" s="174">
        <f t="shared" si="99"/>
        <v>0.89949346840842426</v>
      </c>
    </row>
    <row r="203" spans="1:8" ht="16.5" customHeight="1">
      <c r="A203" s="196" t="s">
        <v>312</v>
      </c>
      <c r="B203" s="272">
        <f>[2]Diesel_S500!$C314</f>
        <v>3.8000000000000003</v>
      </c>
      <c r="C203" s="197">
        <f t="shared" ref="C203" si="287">100*B203/B$8</f>
        <v>280.36004131621661</v>
      </c>
      <c r="D203" s="198">
        <f t="shared" ref="D203" si="288">100*(B203/B202-1)</f>
        <v>1.3063183151159619</v>
      </c>
      <c r="E203" s="198">
        <f t="shared" ref="E203:E208" si="289">100*(B203/B$202-1)</f>
        <v>1.3063183151159619</v>
      </c>
      <c r="F203" s="199">
        <f t="shared" ref="F203" si="290">(100*(B203/B191-1))</f>
        <v>10.690358287212366</v>
      </c>
      <c r="G203" s="200">
        <f t="shared" ref="G203" si="291">100*(B203/B179-1)</f>
        <v>12.392783200236623</v>
      </c>
      <c r="H203" s="174">
        <f t="shared" si="99"/>
        <v>0.88789473684210507</v>
      </c>
    </row>
    <row r="204" spans="1:8" ht="16.5" customHeight="1">
      <c r="A204" s="196" t="s">
        <v>313</v>
      </c>
      <c r="B204" s="272">
        <f>[2]Diesel_S500!$C315</f>
        <v>3.677</v>
      </c>
      <c r="C204" s="197">
        <f t="shared" ref="C204" si="292">100*B204/B$8</f>
        <v>271.28522945256015</v>
      </c>
      <c r="D204" s="198">
        <f t="shared" ref="D204" si="293">100*(B204/B203-1)</f>
        <v>-3.2368421052631602</v>
      </c>
      <c r="E204" s="198">
        <f t="shared" si="289"/>
        <v>-1.9728072513996331</v>
      </c>
      <c r="F204" s="199">
        <f t="shared" ref="F204" si="294">(100*(B204/B192-1))</f>
        <v>6.7653890824622698</v>
      </c>
      <c r="G204" s="200">
        <f t="shared" ref="G204" si="295">100*(B204/B180-1)</f>
        <v>8.6905113804315768</v>
      </c>
      <c r="H204" s="174">
        <f t="shared" si="99"/>
        <v>0.91759586619526778</v>
      </c>
    </row>
    <row r="205" spans="1:8" ht="16.5" customHeight="1">
      <c r="A205" s="196" t="s">
        <v>314</v>
      </c>
      <c r="B205" s="272">
        <f>[2]Diesel_S500!$C316</f>
        <v>3.4920000000000004</v>
      </c>
      <c r="C205" s="197">
        <f t="shared" ref="C205" si="296">100*B205/B$8</f>
        <v>257.63612217795492</v>
      </c>
      <c r="D205" s="198">
        <f t="shared" ref="D205" si="297">100*(B205/B204-1)</f>
        <v>-5.0312754963285133</v>
      </c>
      <c r="E205" s="198">
        <f t="shared" si="289"/>
        <v>-6.9048253798986936</v>
      </c>
      <c r="F205" s="199">
        <f t="shared" ref="F205" si="298">(100*(B205/B193-1))</f>
        <v>-1.7445132245357042</v>
      </c>
      <c r="G205" s="200">
        <f t="shared" ref="G205" si="299">100*(B205/B181-1)</f>
        <v>2.9784724270127239</v>
      </c>
      <c r="H205" s="174">
        <f t="shared" si="99"/>
        <v>0.96620847651775466</v>
      </c>
    </row>
    <row r="206" spans="1:8" ht="16.5" customHeight="1">
      <c r="A206" s="196" t="s">
        <v>315</v>
      </c>
      <c r="B206" s="272">
        <f>[2]Diesel_S500!$C317</f>
        <v>3.2029999999999998</v>
      </c>
      <c r="C206" s="197">
        <f t="shared" ref="C206" si="300">100*B206/B$8</f>
        <v>236.31400324627418</v>
      </c>
      <c r="D206" s="198">
        <f t="shared" ref="D206" si="301">100*(B206/B205-1)</f>
        <v>-8.2760595647193735</v>
      </c>
      <c r="E206" s="198">
        <f t="shared" si="289"/>
        <v>-14.609437483337784</v>
      </c>
      <c r="F206" s="199">
        <f t="shared" ref="F206" si="302">(100*(B206/B194-1))</f>
        <v>-11.372440509131165</v>
      </c>
      <c r="G206" s="200">
        <f t="shared" ref="G206" si="303">100*(B206/B182-1)</f>
        <v>-7.7211178334773862</v>
      </c>
      <c r="H206" s="174">
        <f t="shared" si="99"/>
        <v>1.0533874492663127</v>
      </c>
    </row>
    <row r="207" spans="1:8" ht="16.5" customHeight="1">
      <c r="A207" s="196" t="s">
        <v>316</v>
      </c>
      <c r="B207" s="272">
        <f>[2]Diesel_S500!$C318</f>
        <v>3.0089999999999999</v>
      </c>
      <c r="C207" s="197">
        <f t="shared" ref="C207" si="304">100*B207/B$8</f>
        <v>222.00088534749889</v>
      </c>
      <c r="D207" s="198">
        <f t="shared" ref="D207" si="305">100*(B207/B206-1)</f>
        <v>-6.0568217296284699</v>
      </c>
      <c r="E207" s="198">
        <f t="shared" si="289"/>
        <v>-19.78139162889897</v>
      </c>
      <c r="F207" s="199">
        <f t="shared" ref="F207" si="306">(100*(B207/B195-1))</f>
        <v>-17.651888341543518</v>
      </c>
      <c r="G207" s="200">
        <f t="shared" ref="G207" si="307">100*(B207/B183-1)</f>
        <v>-20.564941921858505</v>
      </c>
      <c r="H207" s="174">
        <f t="shared" si="99"/>
        <v>1.1213027583914921</v>
      </c>
    </row>
    <row r="208" spans="1:8" ht="16.5" customHeight="1">
      <c r="A208" s="196" t="s">
        <v>317</v>
      </c>
      <c r="B208" s="272">
        <f>[2]Diesel_S500!$C319</f>
        <v>3.1469999999999994</v>
      </c>
      <c r="C208" s="197">
        <f t="shared" ref="C208" si="308">100*B208/B$8</f>
        <v>232.18238158477197</v>
      </c>
      <c r="D208" s="198">
        <f t="shared" ref="D208" si="309">100*(B208/B207-1)</f>
        <v>4.5862412761714655</v>
      </c>
      <c r="E208" s="198">
        <f t="shared" si="289"/>
        <v>-16.102372700613198</v>
      </c>
      <c r="F208" s="199">
        <f t="shared" ref="F208" si="310">(100*(B208/B196-1))</f>
        <v>-11.848739495798332</v>
      </c>
      <c r="G208" s="200">
        <f t="shared" ref="G208" si="311">100*(B208/B184-1)</f>
        <v>-7.1407494836234982</v>
      </c>
      <c r="H208" s="174">
        <f t="shared" si="99"/>
        <v>1.0721321893867177</v>
      </c>
    </row>
    <row r="209" spans="1:9" ht="16.5" customHeight="1">
      <c r="A209" s="196" t="s">
        <v>318</v>
      </c>
      <c r="B209" s="272">
        <f>[2]Diesel_S500!$C320</f>
        <v>3.3219999999999996</v>
      </c>
      <c r="C209" s="197">
        <f t="shared" ref="C209" si="312">100*B209/B$8</f>
        <v>245.09369927696622</v>
      </c>
      <c r="D209" s="198">
        <f t="shared" ref="D209" si="313">100*(B209/B208-1)</f>
        <v>5.5608516047028989</v>
      </c>
      <c r="E209" s="198">
        <f t="shared" ref="E209" si="314">100*(B209/B$202-1)</f>
        <v>-11.43695014662759</v>
      </c>
      <c r="F209" s="199">
        <f t="shared" ref="F209" si="315">(100*(B209/B197-1))</f>
        <v>-6.07859768165111</v>
      </c>
      <c r="G209" s="200">
        <f t="shared" ref="G209" si="316">100*(B209/B185-1)</f>
        <v>-1.6577856719952822</v>
      </c>
      <c r="H209" s="174">
        <f t="shared" si="99"/>
        <v>1.0156532209512341</v>
      </c>
    </row>
    <row r="210" spans="1:9" ht="16.5" customHeight="1">
      <c r="A210" s="196" t="s">
        <v>319</v>
      </c>
      <c r="B210" s="272">
        <f>[2]Diesel_S500!$C321</f>
        <v>3.3739999999999997</v>
      </c>
      <c r="C210" s="197">
        <f t="shared" ref="C210" si="317">100*B210/B$8</f>
        <v>248.93020510550392</v>
      </c>
      <c r="D210" s="198">
        <f t="shared" ref="D210" si="318">100*(B210/B209-1)</f>
        <v>1.5653220951234115</v>
      </c>
      <c r="E210" s="198">
        <f t="shared" ref="E210" si="319">100*(B210/B$202-1)</f>
        <v>-10.050653159157575</v>
      </c>
      <c r="F210" s="199">
        <f t="shared" ref="F210" si="320">(100*(B210/B198-1))</f>
        <v>-4.0386803185437863</v>
      </c>
      <c r="G210" s="200">
        <f t="shared" ref="G210" si="321">100*(B210/B186-1)</f>
        <v>8.8994363690297895E-2</v>
      </c>
      <c r="H210" s="268">
        <f t="shared" si="99"/>
        <v>1</v>
      </c>
    </row>
    <row r="211" spans="1:9" ht="16.5" customHeight="1" thickBot="1">
      <c r="A211" s="151" t="s">
        <v>320</v>
      </c>
      <c r="B211" s="152">
        <f>[2]Diesel_S500!$C322</f>
        <v>3.3739999999999997</v>
      </c>
      <c r="C211" s="153">
        <f t="shared" ref="C211" si="322">100*B211/B$8</f>
        <v>248.93020510550392</v>
      </c>
      <c r="D211" s="154">
        <f t="shared" ref="D211" si="323">100*(B211/B210-1)</f>
        <v>0</v>
      </c>
      <c r="E211" s="154">
        <f t="shared" ref="E211" si="324">100*(B211/B$202-1)</f>
        <v>-10.050653159157575</v>
      </c>
      <c r="F211" s="155">
        <f t="shared" ref="F211" si="325">(100*(B211/B199-1))</f>
        <v>-8.0653950953678777</v>
      </c>
      <c r="G211" s="156">
        <f t="shared" ref="G211" si="326">100*(B211/B187-1)</f>
        <v>-7.688098495212059</v>
      </c>
      <c r="H211" s="157">
        <f t="shared" si="99"/>
        <v>1</v>
      </c>
    </row>
    <row r="212" spans="1:9">
      <c r="A212" s="103" t="s">
        <v>18</v>
      </c>
      <c r="B212" s="104"/>
      <c r="C212" s="104"/>
      <c r="D212" s="104"/>
      <c r="E212" s="104"/>
      <c r="F212" s="104"/>
      <c r="G212" s="104"/>
      <c r="H212" s="104"/>
      <c r="I212" s="62" t="s">
        <v>50</v>
      </c>
    </row>
    <row r="213" spans="1:9">
      <c r="B213" s="104"/>
      <c r="C213" s="104"/>
      <c r="D213" s="104"/>
      <c r="E213" s="104"/>
      <c r="F213" s="104"/>
      <c r="G213" s="104"/>
      <c r="H213" s="104"/>
    </row>
    <row r="214" spans="1:9">
      <c r="A214" s="105"/>
      <c r="B214" s="104"/>
      <c r="C214" s="104"/>
      <c r="D214" s="104"/>
      <c r="E214" s="104"/>
      <c r="F214" s="104"/>
      <c r="G214" s="104"/>
      <c r="H214" s="104"/>
    </row>
    <row r="215" spans="1:9">
      <c r="B215" s="104">
        <f>100*(B147/B101-1)</f>
        <v>39.721254355400681</v>
      </c>
      <c r="C215" s="104"/>
      <c r="D215" s="104"/>
      <c r="E215" s="104"/>
      <c r="F215" s="104"/>
      <c r="G215" s="104"/>
      <c r="H215" s="104"/>
    </row>
    <row r="216" spans="1:9">
      <c r="B216" s="104"/>
      <c r="C216" s="104"/>
      <c r="D216" s="104"/>
      <c r="E216" s="104"/>
      <c r="F216" s="104"/>
      <c r="G216" s="104"/>
      <c r="H216" s="104"/>
    </row>
    <row r="217" spans="1:9">
      <c r="A217" s="106"/>
      <c r="B217" s="104"/>
      <c r="C217" s="104"/>
      <c r="D217" s="104"/>
      <c r="E217" s="104"/>
      <c r="F217" s="104"/>
      <c r="G217" s="104"/>
      <c r="H217" s="104"/>
    </row>
    <row r="218" spans="1:9">
      <c r="A218" s="106"/>
      <c r="B218" s="104"/>
      <c r="C218" s="104"/>
      <c r="D218" s="104"/>
      <c r="E218" s="104"/>
      <c r="F218" s="104"/>
      <c r="G218" s="104"/>
      <c r="H218" s="104"/>
    </row>
    <row r="219" spans="1:9">
      <c r="B219" s="107"/>
      <c r="C219" s="107"/>
      <c r="D219" s="108"/>
      <c r="E219" s="107"/>
      <c r="F219" s="104"/>
      <c r="G219" s="104"/>
      <c r="H219" s="104"/>
    </row>
    <row r="220" spans="1:9">
      <c r="B220" s="104"/>
      <c r="C220" s="104"/>
      <c r="D220" s="104"/>
      <c r="E220" s="104"/>
      <c r="F220" s="104"/>
      <c r="G220" s="104"/>
      <c r="H220" s="104"/>
    </row>
    <row r="221" spans="1:9">
      <c r="B221" s="104"/>
      <c r="C221" s="104"/>
      <c r="D221" s="104"/>
      <c r="E221" s="104"/>
      <c r="F221" s="104"/>
      <c r="G221" s="104"/>
      <c r="H221" s="104"/>
    </row>
    <row r="222" spans="1:9">
      <c r="B222" s="104"/>
      <c r="C222" s="104"/>
      <c r="D222" s="104"/>
      <c r="E222" s="104"/>
      <c r="F222" s="104"/>
      <c r="G222" s="104"/>
      <c r="H222" s="104"/>
    </row>
    <row r="223" spans="1:9">
      <c r="B223" s="104"/>
      <c r="C223" s="104"/>
      <c r="D223" s="104"/>
      <c r="E223" s="104"/>
      <c r="F223" s="104"/>
      <c r="G223" s="104"/>
      <c r="H223" s="104"/>
    </row>
    <row r="224" spans="1:9">
      <c r="B224" s="104"/>
      <c r="C224" s="104"/>
      <c r="D224" s="104"/>
      <c r="E224" s="104"/>
      <c r="F224" s="104"/>
      <c r="G224" s="104"/>
      <c r="H224" s="104"/>
    </row>
    <row r="225" spans="1:8">
      <c r="B225" s="104"/>
      <c r="C225" s="104"/>
      <c r="D225" s="104"/>
      <c r="E225" s="104"/>
      <c r="F225" s="104"/>
      <c r="G225" s="104"/>
      <c r="H225" s="104"/>
    </row>
    <row r="226" spans="1:8">
      <c r="B226" s="104"/>
      <c r="C226" s="104"/>
      <c r="D226" s="104"/>
      <c r="E226" s="104"/>
      <c r="F226" s="104"/>
      <c r="G226" s="104"/>
      <c r="H226" s="104"/>
    </row>
    <row r="227" spans="1:8">
      <c r="B227" s="104"/>
      <c r="C227" s="104"/>
      <c r="D227" s="104"/>
      <c r="E227" s="104"/>
      <c r="F227" s="104"/>
      <c r="G227" s="104"/>
      <c r="H227" s="104"/>
    </row>
    <row r="228" spans="1:8">
      <c r="B228" s="104"/>
      <c r="C228" s="104"/>
      <c r="D228" s="104"/>
      <c r="E228" s="104"/>
      <c r="F228" s="104"/>
      <c r="G228" s="104"/>
      <c r="H228" s="104"/>
    </row>
    <row r="229" spans="1:8">
      <c r="B229" s="104"/>
      <c r="C229" s="104"/>
      <c r="D229" s="104"/>
      <c r="E229" s="104"/>
      <c r="F229" s="104"/>
      <c r="G229" s="104"/>
      <c r="H229" s="104"/>
    </row>
    <row r="230" spans="1:8">
      <c r="B230" s="104"/>
      <c r="C230" s="104"/>
      <c r="D230" s="104"/>
      <c r="E230" s="104"/>
      <c r="F230" s="104"/>
      <c r="G230" s="104"/>
      <c r="H230" s="104"/>
    </row>
    <row r="231" spans="1:8">
      <c r="A231" s="105"/>
      <c r="B231" s="104"/>
      <c r="C231" s="104"/>
      <c r="D231" s="104"/>
      <c r="E231" s="104"/>
      <c r="F231" s="104"/>
      <c r="G231" s="104"/>
      <c r="H231" s="104"/>
    </row>
    <row r="232" spans="1:8">
      <c r="B232" s="104"/>
      <c r="C232" s="104"/>
      <c r="D232" s="104"/>
      <c r="E232" s="104"/>
      <c r="F232" s="104"/>
      <c r="G232" s="104"/>
      <c r="H232" s="104"/>
    </row>
    <row r="233" spans="1:8">
      <c r="B233" s="104"/>
      <c r="C233" s="104"/>
      <c r="D233" s="104"/>
      <c r="E233" s="104"/>
      <c r="F233" s="104"/>
      <c r="G233" s="104"/>
      <c r="H233" s="104"/>
    </row>
    <row r="234" spans="1:8">
      <c r="A234" s="106"/>
      <c r="B234" s="104"/>
      <c r="C234" s="104"/>
      <c r="D234" s="104"/>
      <c r="E234" s="104"/>
      <c r="F234" s="104"/>
      <c r="G234" s="104"/>
      <c r="H234" s="104"/>
    </row>
    <row r="235" spans="1:8">
      <c r="A235" s="106"/>
      <c r="B235" s="104"/>
      <c r="C235" s="104"/>
      <c r="D235" s="104"/>
      <c r="E235" s="104"/>
      <c r="F235" s="104"/>
      <c r="G235" s="104"/>
      <c r="H235" s="104"/>
    </row>
    <row r="236" spans="1:8">
      <c r="B236" s="107"/>
      <c r="C236" s="107"/>
      <c r="D236" s="108"/>
      <c r="E236" s="107"/>
      <c r="F236" s="104"/>
      <c r="G236" s="104"/>
      <c r="H236" s="104"/>
    </row>
    <row r="237" spans="1:8">
      <c r="B237" s="104"/>
      <c r="C237" s="104"/>
      <c r="D237" s="104"/>
      <c r="E237" s="104"/>
      <c r="F237" s="104"/>
      <c r="G237" s="104"/>
      <c r="H237" s="104"/>
    </row>
    <row r="238" spans="1:8">
      <c r="B238" s="104"/>
      <c r="C238" s="104"/>
      <c r="D238" s="104"/>
      <c r="E238" s="104"/>
      <c r="F238" s="104"/>
      <c r="G238" s="104"/>
      <c r="H238" s="104"/>
    </row>
    <row r="239" spans="1:8">
      <c r="B239" s="104"/>
      <c r="C239" s="104"/>
      <c r="D239" s="104"/>
      <c r="E239" s="104"/>
      <c r="F239" s="104"/>
      <c r="G239" s="104"/>
      <c r="H239" s="104"/>
    </row>
    <row r="240" spans="1:8">
      <c r="B240" s="104"/>
      <c r="C240" s="104"/>
      <c r="D240" s="104"/>
      <c r="E240" s="104"/>
      <c r="F240" s="104"/>
      <c r="G240" s="104"/>
      <c r="H240" s="104"/>
    </row>
    <row r="241" spans="1:8">
      <c r="B241" s="104"/>
      <c r="C241" s="104"/>
      <c r="D241" s="104"/>
      <c r="E241" s="104"/>
      <c r="F241" s="104"/>
      <c r="G241" s="104"/>
      <c r="H241" s="104"/>
    </row>
    <row r="242" spans="1:8">
      <c r="B242" s="104"/>
      <c r="C242" s="104"/>
      <c r="D242" s="104"/>
      <c r="E242" s="104"/>
      <c r="F242" s="104"/>
      <c r="G242" s="104"/>
      <c r="H242" s="104"/>
    </row>
    <row r="243" spans="1:8">
      <c r="B243" s="104"/>
      <c r="C243" s="104"/>
      <c r="D243" s="104"/>
      <c r="E243" s="104"/>
      <c r="F243" s="104"/>
      <c r="G243" s="104"/>
      <c r="H243" s="104"/>
    </row>
    <row r="244" spans="1:8">
      <c r="B244" s="104"/>
      <c r="C244" s="104"/>
      <c r="D244" s="104"/>
      <c r="E244" s="104"/>
      <c r="F244" s="104"/>
      <c r="G244" s="104"/>
      <c r="H244" s="104"/>
    </row>
    <row r="245" spans="1:8">
      <c r="B245" s="104"/>
      <c r="C245" s="104"/>
      <c r="D245" s="104"/>
      <c r="E245" s="104"/>
      <c r="F245" s="104"/>
      <c r="G245" s="104"/>
      <c r="H245" s="104"/>
    </row>
    <row r="246" spans="1:8">
      <c r="B246" s="104"/>
      <c r="C246" s="104"/>
      <c r="D246" s="104"/>
      <c r="E246" s="104"/>
      <c r="F246" s="104"/>
      <c r="G246" s="104"/>
      <c r="H246" s="104"/>
    </row>
    <row r="247" spans="1:8">
      <c r="B247" s="104"/>
      <c r="C247" s="104"/>
      <c r="D247" s="104"/>
      <c r="E247" s="104"/>
      <c r="F247" s="104"/>
      <c r="G247" s="104"/>
      <c r="H247" s="104"/>
    </row>
    <row r="248" spans="1:8">
      <c r="A248" s="105"/>
      <c r="B248" s="104"/>
      <c r="C248" s="104"/>
      <c r="D248" s="104"/>
      <c r="E248" s="104"/>
      <c r="F248" s="104"/>
      <c r="G248" s="104"/>
      <c r="H248" s="104"/>
    </row>
    <row r="249" spans="1:8">
      <c r="B249" s="104"/>
      <c r="C249" s="104"/>
      <c r="D249" s="104"/>
      <c r="E249" s="104"/>
      <c r="F249" s="104"/>
      <c r="G249" s="104"/>
      <c r="H249" s="104"/>
    </row>
    <row r="250" spans="1:8">
      <c r="B250" s="104"/>
      <c r="C250" s="104"/>
      <c r="D250" s="104"/>
      <c r="E250" s="104"/>
      <c r="F250" s="104"/>
      <c r="G250" s="104"/>
      <c r="H250" s="104"/>
    </row>
    <row r="251" spans="1:8">
      <c r="B251" s="104"/>
      <c r="C251" s="104"/>
      <c r="D251" s="104"/>
      <c r="E251" s="104"/>
      <c r="F251" s="104"/>
      <c r="G251" s="104"/>
      <c r="H251" s="104"/>
    </row>
    <row r="252" spans="1:8">
      <c r="B252" s="104"/>
      <c r="C252" s="104"/>
      <c r="D252" s="104"/>
      <c r="E252" s="104"/>
      <c r="F252" s="104"/>
      <c r="G252" s="104"/>
      <c r="H252" s="104"/>
    </row>
    <row r="253" spans="1:8">
      <c r="B253" s="104"/>
      <c r="C253" s="104"/>
      <c r="D253" s="104"/>
      <c r="E253" s="104"/>
      <c r="F253" s="104"/>
      <c r="G253" s="104"/>
      <c r="H253" s="104"/>
    </row>
    <row r="254" spans="1:8">
      <c r="B254" s="104"/>
      <c r="C254" s="104"/>
      <c r="D254" s="104"/>
      <c r="E254" s="104"/>
      <c r="F254" s="104"/>
      <c r="G254" s="104"/>
      <c r="H254" s="104"/>
    </row>
    <row r="255" spans="1:8">
      <c r="B255" s="104"/>
      <c r="C255" s="104"/>
      <c r="D255" s="104"/>
      <c r="E255" s="104"/>
      <c r="F255" s="104"/>
      <c r="G255" s="104"/>
      <c r="H255" s="104"/>
    </row>
    <row r="256" spans="1:8">
      <c r="B256" s="104"/>
      <c r="C256" s="104"/>
      <c r="D256" s="104"/>
      <c r="E256" s="104"/>
      <c r="F256" s="104"/>
      <c r="G256" s="104"/>
      <c r="H256" s="104"/>
    </row>
    <row r="257" spans="1:8">
      <c r="B257" s="104"/>
      <c r="C257" s="104"/>
      <c r="D257" s="104"/>
      <c r="E257" s="104"/>
      <c r="F257" s="104"/>
      <c r="G257" s="104"/>
      <c r="H257" s="104"/>
    </row>
    <row r="258" spans="1:8">
      <c r="B258" s="104"/>
      <c r="C258" s="104"/>
      <c r="D258" s="104"/>
      <c r="E258" s="104"/>
      <c r="F258" s="104"/>
      <c r="G258" s="104"/>
      <c r="H258" s="104"/>
    </row>
    <row r="259" spans="1:8">
      <c r="B259" s="104"/>
      <c r="C259" s="104"/>
      <c r="D259" s="104"/>
      <c r="E259" s="104"/>
      <c r="F259" s="104"/>
      <c r="G259" s="104"/>
      <c r="H259" s="104"/>
    </row>
    <row r="260" spans="1:8">
      <c r="B260" s="104"/>
      <c r="C260" s="104"/>
      <c r="D260" s="104"/>
      <c r="E260" s="104"/>
      <c r="F260" s="104"/>
      <c r="G260" s="104"/>
      <c r="H260" s="104"/>
    </row>
    <row r="261" spans="1:8">
      <c r="B261" s="104"/>
      <c r="C261" s="104"/>
      <c r="D261" s="104"/>
      <c r="E261" s="104"/>
      <c r="F261" s="104"/>
      <c r="G261" s="104"/>
      <c r="H261" s="104"/>
    </row>
    <row r="262" spans="1:8">
      <c r="B262" s="104"/>
      <c r="C262" s="104"/>
      <c r="D262" s="104"/>
      <c r="E262" s="104"/>
      <c r="F262" s="104"/>
      <c r="G262" s="104"/>
      <c r="H262" s="104"/>
    </row>
    <row r="263" spans="1:8">
      <c r="B263" s="104"/>
      <c r="C263" s="104"/>
      <c r="D263" s="104"/>
      <c r="E263" s="104"/>
      <c r="F263" s="104"/>
      <c r="G263" s="104"/>
      <c r="H263" s="104"/>
    </row>
    <row r="264" spans="1:8">
      <c r="A264" s="62"/>
      <c r="B264" s="104"/>
      <c r="C264" s="104"/>
      <c r="D264" s="104"/>
      <c r="E264" s="104"/>
      <c r="F264" s="104"/>
      <c r="G264" s="104"/>
      <c r="H264" s="104"/>
    </row>
    <row r="265" spans="1:8">
      <c r="A265" s="62"/>
      <c r="B265" s="104"/>
      <c r="C265" s="104"/>
      <c r="D265" s="104"/>
      <c r="E265" s="104"/>
      <c r="F265" s="104"/>
      <c r="G265" s="104"/>
      <c r="H265" s="104"/>
    </row>
    <row r="266" spans="1:8">
      <c r="A266" s="62"/>
      <c r="B266" s="104"/>
      <c r="C266" s="104"/>
      <c r="D266" s="104"/>
      <c r="E266" s="104"/>
      <c r="F266" s="104"/>
      <c r="G266" s="104"/>
      <c r="H266" s="104"/>
    </row>
    <row r="267" spans="1:8">
      <c r="A267" s="62"/>
      <c r="B267" s="104"/>
      <c r="C267" s="104"/>
      <c r="D267" s="104"/>
      <c r="E267" s="104"/>
      <c r="F267" s="104"/>
      <c r="G267" s="104"/>
      <c r="H267" s="104"/>
    </row>
    <row r="268" spans="1:8">
      <c r="A268" s="62"/>
      <c r="B268" s="104"/>
      <c r="C268" s="104"/>
      <c r="D268" s="104"/>
      <c r="E268" s="104"/>
      <c r="F268" s="104"/>
      <c r="G268" s="104"/>
      <c r="H268" s="104"/>
    </row>
    <row r="269" spans="1:8">
      <c r="A269" s="62"/>
      <c r="B269" s="104"/>
      <c r="C269" s="104"/>
      <c r="D269" s="104"/>
      <c r="E269" s="104"/>
      <c r="F269" s="104"/>
      <c r="G269" s="104"/>
      <c r="H269" s="104"/>
    </row>
    <row r="270" spans="1:8">
      <c r="A270" s="62"/>
      <c r="B270" s="104"/>
      <c r="C270" s="104"/>
      <c r="D270" s="104"/>
      <c r="E270" s="104"/>
      <c r="F270" s="104"/>
      <c r="G270" s="104"/>
      <c r="H270" s="104"/>
    </row>
    <row r="271" spans="1:8">
      <c r="A271" s="62"/>
      <c r="B271" s="104"/>
      <c r="C271" s="104"/>
      <c r="D271" s="104"/>
      <c r="E271" s="104"/>
      <c r="F271" s="104"/>
      <c r="G271" s="104"/>
      <c r="H271" s="104"/>
    </row>
    <row r="272" spans="1:8">
      <c r="A272" s="62"/>
      <c r="B272" s="104"/>
      <c r="C272" s="104"/>
      <c r="D272" s="104"/>
      <c r="E272" s="104"/>
      <c r="F272" s="104"/>
      <c r="G272" s="104"/>
      <c r="H272" s="104"/>
    </row>
    <row r="273" spans="1:8">
      <c r="A273" s="62"/>
      <c r="B273" s="104"/>
      <c r="C273" s="104"/>
      <c r="D273" s="104"/>
      <c r="E273" s="104"/>
      <c r="F273" s="104"/>
      <c r="G273" s="104"/>
      <c r="H273" s="104"/>
    </row>
    <row r="274" spans="1:8">
      <c r="A274" s="62"/>
      <c r="B274" s="104"/>
      <c r="C274" s="104"/>
      <c r="D274" s="104"/>
      <c r="E274" s="104"/>
      <c r="F274" s="104"/>
      <c r="G274" s="104"/>
      <c r="H274" s="104"/>
    </row>
    <row r="275" spans="1:8">
      <c r="A275" s="62"/>
      <c r="B275" s="104"/>
      <c r="C275" s="104"/>
      <c r="D275" s="104"/>
      <c r="E275" s="104"/>
      <c r="F275" s="104"/>
      <c r="G275" s="104"/>
      <c r="H275" s="104"/>
    </row>
    <row r="276" spans="1:8">
      <c r="A276" s="62"/>
      <c r="B276" s="104"/>
      <c r="C276" s="104"/>
      <c r="D276" s="104"/>
      <c r="E276" s="104"/>
      <c r="F276" s="104"/>
      <c r="G276" s="104"/>
      <c r="H276" s="104"/>
    </row>
    <row r="277" spans="1:8">
      <c r="A277" s="62"/>
      <c r="B277" s="104"/>
      <c r="C277" s="104"/>
      <c r="D277" s="104"/>
      <c r="E277" s="104"/>
      <c r="F277" s="104"/>
      <c r="G277" s="104"/>
      <c r="H277" s="104"/>
    </row>
    <row r="278" spans="1:8">
      <c r="A278" s="62"/>
      <c r="B278" s="104"/>
      <c r="C278" s="104"/>
      <c r="D278" s="104"/>
      <c r="E278" s="104"/>
      <c r="F278" s="104"/>
      <c r="G278" s="104"/>
      <c r="H278" s="104"/>
    </row>
    <row r="279" spans="1:8">
      <c r="A279" s="62"/>
      <c r="B279" s="104"/>
      <c r="C279" s="104"/>
      <c r="D279" s="104"/>
      <c r="E279" s="104"/>
      <c r="F279" s="104"/>
      <c r="G279" s="104"/>
      <c r="H279" s="104"/>
    </row>
    <row r="280" spans="1:8">
      <c r="A280" s="62"/>
      <c r="B280" s="104"/>
      <c r="C280" s="104"/>
      <c r="D280" s="104"/>
      <c r="E280" s="104"/>
      <c r="F280" s="104"/>
      <c r="G280" s="104"/>
      <c r="H280" s="104"/>
    </row>
    <row r="281" spans="1:8">
      <c r="A281" s="62"/>
      <c r="B281" s="104"/>
      <c r="C281" s="104"/>
      <c r="D281" s="104"/>
      <c r="E281" s="104"/>
      <c r="F281" s="104"/>
      <c r="G281" s="104"/>
      <c r="H281" s="104"/>
    </row>
    <row r="282" spans="1:8">
      <c r="A282" s="62"/>
      <c r="B282" s="104"/>
      <c r="C282" s="104"/>
      <c r="D282" s="104"/>
      <c r="E282" s="104"/>
      <c r="F282" s="104"/>
      <c r="G282" s="104"/>
      <c r="H282" s="104"/>
    </row>
    <row r="283" spans="1:8">
      <c r="A283" s="62"/>
      <c r="B283" s="104"/>
      <c r="C283" s="104"/>
      <c r="D283" s="104"/>
      <c r="E283" s="104"/>
      <c r="F283" s="104"/>
      <c r="G283" s="104"/>
      <c r="H283" s="104"/>
    </row>
    <row r="284" spans="1:8">
      <c r="A284" s="62"/>
      <c r="B284" s="104"/>
      <c r="C284" s="104"/>
      <c r="D284" s="104"/>
      <c r="E284" s="104"/>
      <c r="F284" s="104"/>
      <c r="G284" s="104"/>
      <c r="H284" s="104"/>
    </row>
    <row r="285" spans="1:8">
      <c r="A285" s="62"/>
      <c r="B285" s="104"/>
      <c r="C285" s="104"/>
      <c r="D285" s="104"/>
      <c r="E285" s="104"/>
      <c r="F285" s="104"/>
      <c r="G285" s="104"/>
      <c r="H285" s="104"/>
    </row>
    <row r="286" spans="1:8">
      <c r="A286" s="62"/>
      <c r="B286" s="104"/>
      <c r="C286" s="104"/>
      <c r="D286" s="104"/>
      <c r="E286" s="104"/>
      <c r="F286" s="104"/>
      <c r="G286" s="104"/>
      <c r="H286" s="104"/>
    </row>
    <row r="287" spans="1:8">
      <c r="A287" s="62"/>
      <c r="B287" s="104"/>
      <c r="C287" s="104"/>
      <c r="D287" s="104"/>
      <c r="E287" s="104"/>
      <c r="F287" s="104"/>
      <c r="G287" s="104"/>
      <c r="H287" s="104"/>
    </row>
    <row r="288" spans="1:8">
      <c r="A288" s="62"/>
      <c r="B288" s="104"/>
      <c r="C288" s="104"/>
      <c r="D288" s="104"/>
      <c r="E288" s="104"/>
      <c r="F288" s="104"/>
      <c r="G288" s="104"/>
      <c r="H288" s="104"/>
    </row>
    <row r="289" spans="1:8">
      <c r="A289" s="62"/>
      <c r="B289" s="104"/>
      <c r="C289" s="104"/>
      <c r="D289" s="104"/>
      <c r="E289" s="104"/>
      <c r="F289" s="104"/>
      <c r="G289" s="104"/>
      <c r="H289" s="104"/>
    </row>
    <row r="290" spans="1:8">
      <c r="A290" s="62"/>
      <c r="B290" s="104"/>
      <c r="C290" s="104"/>
      <c r="D290" s="104"/>
      <c r="E290" s="104"/>
      <c r="F290" s="104"/>
      <c r="G290" s="104"/>
      <c r="H290" s="104"/>
    </row>
    <row r="291" spans="1:8">
      <c r="A291" s="62"/>
      <c r="B291" s="104"/>
      <c r="C291" s="104"/>
      <c r="D291" s="104"/>
      <c r="E291" s="104"/>
      <c r="F291" s="104"/>
      <c r="G291" s="104"/>
      <c r="H291" s="104"/>
    </row>
    <row r="292" spans="1:8">
      <c r="A292" s="62"/>
      <c r="B292" s="104"/>
      <c r="C292" s="104"/>
      <c r="D292" s="104"/>
      <c r="E292" s="104"/>
      <c r="F292" s="104"/>
      <c r="G292" s="104"/>
      <c r="H292" s="104"/>
    </row>
    <row r="293" spans="1:8">
      <c r="A293" s="62"/>
      <c r="B293" s="104"/>
      <c r="C293" s="104"/>
      <c r="D293" s="104"/>
      <c r="E293" s="104"/>
      <c r="F293" s="104"/>
      <c r="G293" s="104"/>
      <c r="H293" s="104"/>
    </row>
    <row r="294" spans="1:8">
      <c r="A294" s="62"/>
      <c r="B294" s="104"/>
      <c r="C294" s="104"/>
      <c r="D294" s="104"/>
      <c r="E294" s="104"/>
      <c r="F294" s="104"/>
      <c r="G294" s="104"/>
      <c r="H294" s="104"/>
    </row>
    <row r="295" spans="1:8">
      <c r="A295" s="62"/>
      <c r="B295" s="104"/>
      <c r="C295" s="104"/>
      <c r="D295" s="104"/>
      <c r="E295" s="104"/>
      <c r="F295" s="104"/>
      <c r="G295" s="104"/>
      <c r="H295" s="104"/>
    </row>
    <row r="296" spans="1:8">
      <c r="A296" s="62"/>
      <c r="B296" s="104"/>
      <c r="C296" s="104"/>
      <c r="D296" s="104"/>
      <c r="E296" s="104"/>
      <c r="F296" s="104"/>
      <c r="G296" s="104"/>
      <c r="H296" s="104"/>
    </row>
    <row r="297" spans="1:8">
      <c r="A297" s="62"/>
      <c r="B297" s="104"/>
      <c r="C297" s="104"/>
      <c r="D297" s="104"/>
      <c r="E297" s="104"/>
      <c r="F297" s="104"/>
      <c r="G297" s="104"/>
      <c r="H297" s="104"/>
    </row>
    <row r="298" spans="1:8">
      <c r="A298" s="62"/>
      <c r="B298" s="104"/>
      <c r="C298" s="104"/>
      <c r="D298" s="104"/>
      <c r="E298" s="104"/>
      <c r="F298" s="104"/>
      <c r="G298" s="104"/>
      <c r="H298" s="104"/>
    </row>
    <row r="299" spans="1:8">
      <c r="A299" s="62"/>
      <c r="B299" s="104"/>
      <c r="C299" s="104"/>
      <c r="D299" s="104"/>
      <c r="E299" s="104"/>
      <c r="F299" s="104"/>
      <c r="G299" s="104"/>
      <c r="H299" s="104"/>
    </row>
    <row r="300" spans="1:8">
      <c r="A300" s="62"/>
      <c r="B300" s="104"/>
      <c r="C300" s="104"/>
      <c r="D300" s="104"/>
      <c r="E300" s="104"/>
      <c r="F300" s="104"/>
      <c r="G300" s="104"/>
      <c r="H300" s="104"/>
    </row>
    <row r="301" spans="1:8">
      <c r="A301" s="62"/>
      <c r="B301" s="104"/>
      <c r="C301" s="104"/>
      <c r="D301" s="104"/>
      <c r="E301" s="104"/>
      <c r="F301" s="104"/>
      <c r="G301" s="104"/>
      <c r="H301" s="104"/>
    </row>
    <row r="302" spans="1:8">
      <c r="A302" s="62"/>
      <c r="B302" s="104"/>
      <c r="C302" s="104"/>
      <c r="D302" s="104"/>
      <c r="E302" s="104"/>
      <c r="F302" s="104"/>
      <c r="G302" s="104"/>
      <c r="H302" s="104"/>
    </row>
    <row r="303" spans="1:8">
      <c r="A303" s="62"/>
      <c r="B303" s="104"/>
      <c r="C303" s="104"/>
      <c r="D303" s="104"/>
      <c r="E303" s="104"/>
      <c r="F303" s="104"/>
      <c r="G303" s="104"/>
      <c r="H303" s="104"/>
    </row>
    <row r="304" spans="1:8">
      <c r="A304" s="62"/>
      <c r="B304" s="104"/>
      <c r="C304" s="104"/>
      <c r="D304" s="104"/>
      <c r="E304" s="104"/>
      <c r="F304" s="104"/>
      <c r="G304" s="104"/>
      <c r="H304" s="104"/>
    </row>
    <row r="305" spans="1:8">
      <c r="A305" s="62"/>
      <c r="B305" s="104"/>
      <c r="C305" s="104"/>
      <c r="D305" s="104"/>
      <c r="E305" s="104"/>
      <c r="F305" s="104"/>
      <c r="G305" s="104"/>
      <c r="H305" s="104"/>
    </row>
    <row r="306" spans="1:8">
      <c r="A306" s="62"/>
      <c r="B306" s="104"/>
      <c r="C306" s="104"/>
      <c r="D306" s="104"/>
      <c r="E306" s="104"/>
      <c r="F306" s="104"/>
      <c r="G306" s="104"/>
      <c r="H306" s="104"/>
    </row>
    <row r="307" spans="1:8">
      <c r="A307" s="62"/>
      <c r="B307" s="104"/>
      <c r="C307" s="104"/>
      <c r="D307" s="104"/>
      <c r="E307" s="104"/>
      <c r="F307" s="104"/>
      <c r="G307" s="104"/>
      <c r="H307" s="104"/>
    </row>
    <row r="308" spans="1:8">
      <c r="A308" s="62"/>
      <c r="B308" s="104"/>
      <c r="C308" s="104"/>
      <c r="D308" s="104"/>
      <c r="E308" s="104"/>
      <c r="F308" s="104"/>
      <c r="G308" s="104"/>
      <c r="H308" s="104"/>
    </row>
    <row r="309" spans="1:8">
      <c r="A309" s="62"/>
      <c r="B309" s="104"/>
      <c r="C309" s="104"/>
      <c r="D309" s="104"/>
      <c r="E309" s="104"/>
      <c r="F309" s="104"/>
      <c r="G309" s="104"/>
      <c r="H309" s="104"/>
    </row>
    <row r="310" spans="1:8">
      <c r="A310" s="62"/>
      <c r="B310" s="104"/>
      <c r="C310" s="104"/>
      <c r="D310" s="104"/>
      <c r="E310" s="104"/>
      <c r="F310" s="104"/>
      <c r="G310" s="104"/>
      <c r="H310" s="104"/>
    </row>
    <row r="311" spans="1:8">
      <c r="A311" s="62"/>
      <c r="B311" s="104"/>
      <c r="C311" s="104"/>
      <c r="D311" s="104"/>
      <c r="E311" s="104"/>
      <c r="F311" s="104"/>
      <c r="G311" s="104"/>
      <c r="H311" s="104"/>
    </row>
    <row r="312" spans="1:8">
      <c r="A312" s="62"/>
      <c r="B312" s="104"/>
      <c r="C312" s="104"/>
      <c r="D312" s="104"/>
      <c r="E312" s="104"/>
      <c r="F312" s="104"/>
      <c r="G312" s="104"/>
      <c r="H312" s="104"/>
    </row>
    <row r="313" spans="1:8">
      <c r="A313" s="62"/>
      <c r="B313" s="104"/>
      <c r="C313" s="104"/>
      <c r="D313" s="104"/>
      <c r="E313" s="104"/>
      <c r="F313" s="104"/>
      <c r="G313" s="104"/>
      <c r="H313" s="104"/>
    </row>
    <row r="314" spans="1:8">
      <c r="A314" s="62"/>
      <c r="B314" s="104"/>
      <c r="C314" s="104"/>
      <c r="D314" s="104"/>
      <c r="E314" s="104"/>
      <c r="F314" s="104"/>
      <c r="G314" s="104"/>
      <c r="H314" s="104"/>
    </row>
    <row r="315" spans="1:8">
      <c r="A315" s="62"/>
      <c r="B315" s="104"/>
      <c r="C315" s="104"/>
      <c r="D315" s="104"/>
      <c r="E315" s="104"/>
      <c r="F315" s="104"/>
      <c r="G315" s="104"/>
      <c r="H315" s="104"/>
    </row>
    <row r="316" spans="1:8">
      <c r="A316" s="62"/>
      <c r="B316" s="104"/>
      <c r="C316" s="104"/>
      <c r="D316" s="104"/>
      <c r="E316" s="104"/>
      <c r="F316" s="104"/>
      <c r="G316" s="104"/>
      <c r="H316" s="104"/>
    </row>
    <row r="317" spans="1:8">
      <c r="A317" s="62"/>
      <c r="B317" s="104"/>
      <c r="C317" s="104"/>
      <c r="D317" s="104"/>
      <c r="E317" s="104"/>
      <c r="F317" s="104"/>
      <c r="G317" s="104"/>
      <c r="H317" s="104"/>
    </row>
    <row r="318" spans="1:8">
      <c r="A318" s="62"/>
      <c r="B318" s="104"/>
      <c r="C318" s="104"/>
      <c r="D318" s="104"/>
      <c r="E318" s="104"/>
      <c r="F318" s="104"/>
      <c r="G318" s="104"/>
      <c r="H318" s="104"/>
    </row>
    <row r="319" spans="1:8">
      <c r="A319" s="62"/>
      <c r="B319" s="104"/>
      <c r="C319" s="104"/>
      <c r="D319" s="104"/>
      <c r="E319" s="104"/>
      <c r="F319" s="104"/>
      <c r="G319" s="104"/>
      <c r="H319" s="104"/>
    </row>
    <row r="320" spans="1:8">
      <c r="A320" s="62"/>
      <c r="B320" s="104"/>
      <c r="C320" s="104"/>
      <c r="D320" s="104"/>
      <c r="E320" s="104"/>
      <c r="F320" s="104"/>
      <c r="G320" s="104"/>
      <c r="H320" s="104"/>
    </row>
    <row r="321" spans="1:8">
      <c r="A321" s="62"/>
      <c r="B321" s="104"/>
      <c r="C321" s="104"/>
      <c r="D321" s="104"/>
      <c r="E321" s="104"/>
      <c r="F321" s="104"/>
      <c r="G321" s="104"/>
      <c r="H321" s="104"/>
    </row>
    <row r="322" spans="1:8">
      <c r="A322" s="62"/>
      <c r="B322" s="104"/>
      <c r="C322" s="104"/>
      <c r="D322" s="104"/>
      <c r="E322" s="104"/>
      <c r="F322" s="104"/>
      <c r="G322" s="104"/>
      <c r="H322" s="104"/>
    </row>
    <row r="323" spans="1:8">
      <c r="A323" s="62"/>
      <c r="B323" s="104"/>
      <c r="C323" s="104"/>
      <c r="D323" s="104"/>
      <c r="E323" s="104"/>
      <c r="F323" s="104"/>
      <c r="G323" s="104"/>
      <c r="H323" s="104"/>
    </row>
    <row r="324" spans="1:8">
      <c r="A324" s="62"/>
      <c r="B324" s="104"/>
      <c r="C324" s="104"/>
      <c r="D324" s="104"/>
      <c r="E324" s="104"/>
      <c r="F324" s="104"/>
      <c r="G324" s="104"/>
      <c r="H324" s="104"/>
    </row>
    <row r="325" spans="1:8">
      <c r="A325" s="62"/>
      <c r="B325" s="104"/>
      <c r="C325" s="104"/>
      <c r="D325" s="104"/>
      <c r="E325" s="104"/>
      <c r="F325" s="104"/>
      <c r="G325" s="104"/>
      <c r="H325" s="104"/>
    </row>
    <row r="326" spans="1:8">
      <c r="A326" s="62"/>
      <c r="B326" s="104"/>
      <c r="C326" s="104"/>
      <c r="D326" s="104"/>
      <c r="E326" s="104"/>
      <c r="F326" s="104"/>
      <c r="G326" s="104"/>
      <c r="H326" s="104"/>
    </row>
    <row r="327" spans="1:8">
      <c r="A327" s="62"/>
      <c r="B327" s="104"/>
      <c r="C327" s="104"/>
      <c r="D327" s="104"/>
      <c r="E327" s="104"/>
      <c r="F327" s="104"/>
      <c r="G327" s="104"/>
      <c r="H327" s="104"/>
    </row>
    <row r="328" spans="1:8">
      <c r="A328" s="62"/>
      <c r="B328" s="104"/>
      <c r="C328" s="104"/>
      <c r="D328" s="104"/>
      <c r="E328" s="104"/>
      <c r="F328" s="104"/>
      <c r="G328" s="104"/>
      <c r="H328" s="104"/>
    </row>
    <row r="329" spans="1:8">
      <c r="A329" s="62"/>
      <c r="B329" s="104"/>
      <c r="C329" s="104"/>
      <c r="D329" s="104"/>
      <c r="E329" s="104"/>
      <c r="F329" s="104"/>
      <c r="G329" s="104"/>
      <c r="H329" s="104"/>
    </row>
    <row r="330" spans="1:8">
      <c r="A330" s="62"/>
      <c r="B330" s="104"/>
      <c r="C330" s="104"/>
      <c r="D330" s="104"/>
      <c r="E330" s="104"/>
      <c r="F330" s="104"/>
      <c r="G330" s="104"/>
      <c r="H330" s="104"/>
    </row>
    <row r="331" spans="1:8">
      <c r="A331" s="62"/>
      <c r="B331" s="104"/>
      <c r="C331" s="104"/>
      <c r="D331" s="104"/>
      <c r="E331" s="104"/>
      <c r="F331" s="104"/>
      <c r="G331" s="104"/>
      <c r="H331" s="104"/>
    </row>
    <row r="332" spans="1:8">
      <c r="A332" s="62"/>
      <c r="B332" s="104"/>
      <c r="C332" s="104"/>
      <c r="D332" s="104"/>
      <c r="E332" s="104"/>
      <c r="F332" s="104"/>
      <c r="G332" s="104"/>
      <c r="H332" s="104"/>
    </row>
    <row r="333" spans="1:8">
      <c r="A333" s="62"/>
      <c r="B333" s="104"/>
      <c r="C333" s="104"/>
      <c r="D333" s="104"/>
      <c r="E333" s="104"/>
      <c r="F333" s="104"/>
      <c r="G333" s="104"/>
      <c r="H333" s="104"/>
    </row>
    <row r="334" spans="1:8">
      <c r="A334" s="62"/>
      <c r="B334" s="104"/>
      <c r="C334" s="104"/>
      <c r="D334" s="104"/>
      <c r="E334" s="104"/>
      <c r="F334" s="104"/>
      <c r="G334" s="104"/>
      <c r="H334" s="104"/>
    </row>
    <row r="335" spans="1:8">
      <c r="A335" s="62"/>
      <c r="B335" s="104"/>
      <c r="C335" s="104"/>
      <c r="D335" s="104"/>
      <c r="E335" s="104"/>
      <c r="F335" s="104"/>
      <c r="G335" s="104"/>
      <c r="H335" s="104"/>
    </row>
    <row r="336" spans="1:8">
      <c r="A336" s="62"/>
      <c r="B336" s="104"/>
      <c r="C336" s="104"/>
      <c r="D336" s="104"/>
      <c r="E336" s="104"/>
      <c r="F336" s="104"/>
      <c r="G336" s="104"/>
      <c r="H336" s="104"/>
    </row>
    <row r="337" spans="1:8">
      <c r="A337" s="62"/>
      <c r="B337" s="104"/>
      <c r="C337" s="104"/>
      <c r="D337" s="104"/>
      <c r="E337" s="104"/>
      <c r="F337" s="104"/>
      <c r="G337" s="104"/>
      <c r="H337" s="104"/>
    </row>
    <row r="338" spans="1:8">
      <c r="A338" s="62"/>
      <c r="B338" s="104"/>
      <c r="C338" s="104"/>
      <c r="D338" s="104"/>
      <c r="E338" s="104"/>
      <c r="F338" s="104"/>
      <c r="G338" s="104"/>
      <c r="H338" s="104"/>
    </row>
    <row r="339" spans="1:8">
      <c r="A339" s="62"/>
      <c r="B339" s="104"/>
      <c r="C339" s="104"/>
      <c r="D339" s="104"/>
      <c r="E339" s="104"/>
      <c r="F339" s="104"/>
      <c r="G339" s="104"/>
      <c r="H339" s="104"/>
    </row>
    <row r="340" spans="1:8">
      <c r="A340" s="62"/>
      <c r="B340" s="104"/>
      <c r="C340" s="104"/>
      <c r="D340" s="104"/>
      <c r="E340" s="104"/>
      <c r="F340" s="104"/>
      <c r="G340" s="104"/>
      <c r="H340" s="104"/>
    </row>
    <row r="341" spans="1:8">
      <c r="A341" s="62"/>
      <c r="B341" s="104"/>
      <c r="C341" s="104"/>
      <c r="D341" s="104"/>
      <c r="E341" s="104"/>
      <c r="F341" s="104"/>
      <c r="G341" s="104"/>
      <c r="H341" s="104"/>
    </row>
    <row r="342" spans="1:8">
      <c r="A342" s="62"/>
      <c r="B342" s="104"/>
      <c r="C342" s="104"/>
      <c r="D342" s="104"/>
      <c r="E342" s="104"/>
      <c r="F342" s="104"/>
      <c r="G342" s="104"/>
      <c r="H342" s="104"/>
    </row>
    <row r="343" spans="1:8">
      <c r="A343" s="62"/>
      <c r="B343" s="104"/>
      <c r="C343" s="104"/>
      <c r="D343" s="104"/>
      <c r="E343" s="104"/>
      <c r="F343" s="104"/>
      <c r="G343" s="104"/>
      <c r="H343" s="104"/>
    </row>
    <row r="344" spans="1:8">
      <c r="A344" s="62"/>
      <c r="B344" s="104"/>
      <c r="C344" s="104"/>
      <c r="D344" s="104"/>
      <c r="E344" s="104"/>
      <c r="F344" s="104"/>
      <c r="G344" s="104"/>
      <c r="H344" s="104"/>
    </row>
    <row r="345" spans="1:8">
      <c r="A345" s="62"/>
      <c r="B345" s="104"/>
      <c r="C345" s="104"/>
      <c r="D345" s="104"/>
      <c r="E345" s="104"/>
      <c r="F345" s="104"/>
      <c r="G345" s="104"/>
      <c r="H345" s="104"/>
    </row>
    <row r="346" spans="1:8">
      <c r="A346" s="62"/>
      <c r="B346" s="104"/>
      <c r="C346" s="104"/>
      <c r="D346" s="104"/>
      <c r="E346" s="104"/>
      <c r="F346" s="104"/>
      <c r="G346" s="104"/>
      <c r="H346" s="104"/>
    </row>
    <row r="347" spans="1:8">
      <c r="A347" s="62"/>
      <c r="B347" s="104"/>
      <c r="C347" s="104"/>
      <c r="D347" s="104"/>
      <c r="E347" s="104"/>
      <c r="F347" s="104"/>
      <c r="G347" s="104"/>
      <c r="H347" s="104"/>
    </row>
    <row r="348" spans="1:8">
      <c r="A348" s="62"/>
      <c r="B348" s="104"/>
      <c r="C348" s="104"/>
      <c r="D348" s="104"/>
      <c r="E348" s="104"/>
      <c r="F348" s="104"/>
      <c r="G348" s="104"/>
      <c r="H348" s="104"/>
    </row>
    <row r="349" spans="1:8">
      <c r="A349" s="62"/>
      <c r="B349" s="104"/>
      <c r="C349" s="104"/>
      <c r="D349" s="104"/>
      <c r="E349" s="104"/>
      <c r="F349" s="104"/>
      <c r="G349" s="104"/>
      <c r="H349" s="104"/>
    </row>
    <row r="350" spans="1:8">
      <c r="A350" s="62"/>
      <c r="B350" s="104"/>
      <c r="C350" s="104"/>
      <c r="D350" s="104"/>
      <c r="E350" s="104"/>
      <c r="F350" s="104"/>
      <c r="G350" s="104"/>
      <c r="H350" s="104"/>
    </row>
    <row r="351" spans="1:8">
      <c r="A351" s="62"/>
      <c r="B351" s="104"/>
      <c r="C351" s="104"/>
      <c r="D351" s="104"/>
      <c r="E351" s="104"/>
      <c r="F351" s="104"/>
      <c r="G351" s="104"/>
      <c r="H351" s="104"/>
    </row>
    <row r="352" spans="1:8">
      <c r="A352" s="62"/>
      <c r="B352" s="104"/>
      <c r="C352" s="104"/>
      <c r="D352" s="104"/>
      <c r="E352" s="104"/>
      <c r="F352" s="104"/>
      <c r="G352" s="104"/>
      <c r="H352" s="104"/>
    </row>
    <row r="353" spans="1:8">
      <c r="A353" s="62"/>
      <c r="B353" s="104"/>
      <c r="C353" s="104"/>
      <c r="D353" s="104"/>
      <c r="E353" s="104"/>
      <c r="F353" s="104"/>
      <c r="G353" s="104"/>
      <c r="H353" s="104"/>
    </row>
    <row r="354" spans="1:8">
      <c r="A354" s="62"/>
      <c r="B354" s="104"/>
      <c r="C354" s="104"/>
      <c r="D354" s="104"/>
      <c r="E354" s="104"/>
      <c r="F354" s="104"/>
      <c r="G354" s="104"/>
      <c r="H354" s="104"/>
    </row>
    <row r="355" spans="1:8">
      <c r="A355" s="62"/>
      <c r="B355" s="104"/>
      <c r="C355" s="104"/>
      <c r="D355" s="104"/>
      <c r="E355" s="104"/>
      <c r="F355" s="104"/>
      <c r="G355" s="104"/>
      <c r="H355" s="104"/>
    </row>
    <row r="356" spans="1:8">
      <c r="A356" s="62"/>
      <c r="B356" s="104"/>
      <c r="C356" s="104"/>
      <c r="D356" s="104"/>
      <c r="E356" s="104"/>
      <c r="F356" s="104"/>
      <c r="G356" s="104"/>
      <c r="H356" s="104"/>
    </row>
    <row r="357" spans="1:8">
      <c r="A357" s="62"/>
      <c r="B357" s="104"/>
      <c r="C357" s="104"/>
      <c r="D357" s="104"/>
      <c r="E357" s="104"/>
      <c r="F357" s="104"/>
      <c r="G357" s="104"/>
      <c r="H357" s="104"/>
    </row>
    <row r="358" spans="1:8">
      <c r="A358" s="62"/>
      <c r="B358" s="104"/>
      <c r="C358" s="104"/>
      <c r="D358" s="104"/>
      <c r="E358" s="104"/>
      <c r="F358" s="104"/>
      <c r="G358" s="104"/>
      <c r="H358" s="104"/>
    </row>
    <row r="359" spans="1:8">
      <c r="A359" s="62"/>
      <c r="B359" s="104"/>
      <c r="C359" s="104"/>
      <c r="D359" s="104"/>
      <c r="E359" s="104"/>
      <c r="F359" s="104"/>
      <c r="G359" s="104"/>
      <c r="H359" s="104"/>
    </row>
    <row r="360" spans="1:8">
      <c r="A360" s="62"/>
      <c r="B360" s="104"/>
      <c r="C360" s="104"/>
      <c r="D360" s="104"/>
      <c r="E360" s="104"/>
      <c r="F360" s="104"/>
      <c r="G360" s="104"/>
      <c r="H360" s="104"/>
    </row>
    <row r="361" spans="1:8">
      <c r="A361" s="62"/>
      <c r="B361" s="104"/>
      <c r="C361" s="104"/>
      <c r="D361" s="104"/>
      <c r="E361" s="104"/>
      <c r="F361" s="104"/>
      <c r="G361" s="104"/>
      <c r="H361" s="104"/>
    </row>
    <row r="362" spans="1:8">
      <c r="A362" s="62"/>
      <c r="B362" s="104"/>
      <c r="C362" s="104"/>
      <c r="D362" s="104"/>
      <c r="E362" s="104"/>
      <c r="F362" s="104"/>
      <c r="G362" s="104"/>
      <c r="H362" s="104"/>
    </row>
    <row r="363" spans="1:8">
      <c r="A363" s="62"/>
      <c r="B363" s="104"/>
      <c r="C363" s="104"/>
      <c r="D363" s="104"/>
      <c r="E363" s="104"/>
      <c r="F363" s="104"/>
      <c r="G363" s="104"/>
      <c r="H363" s="104"/>
    </row>
    <row r="364" spans="1:8">
      <c r="A364" s="62"/>
      <c r="B364" s="104"/>
      <c r="C364" s="104"/>
      <c r="D364" s="104"/>
      <c r="E364" s="104"/>
      <c r="F364" s="104"/>
      <c r="G364" s="104"/>
      <c r="H364" s="104"/>
    </row>
    <row r="365" spans="1:8">
      <c r="A365" s="62"/>
      <c r="B365" s="104"/>
      <c r="C365" s="104"/>
      <c r="D365" s="104"/>
      <c r="E365" s="104"/>
      <c r="F365" s="104"/>
      <c r="G365" s="104"/>
      <c r="H365" s="104"/>
    </row>
    <row r="366" spans="1:8">
      <c r="A366" s="62"/>
      <c r="B366" s="104"/>
      <c r="C366" s="104"/>
      <c r="D366" s="104"/>
      <c r="E366" s="104"/>
      <c r="F366" s="104"/>
      <c r="G366" s="104"/>
      <c r="H366" s="104"/>
    </row>
    <row r="367" spans="1:8">
      <c r="A367" s="62"/>
      <c r="B367" s="104"/>
      <c r="C367" s="104"/>
      <c r="D367" s="104"/>
      <c r="E367" s="104"/>
      <c r="F367" s="104"/>
      <c r="G367" s="104"/>
      <c r="H367" s="104"/>
    </row>
    <row r="368" spans="1:8">
      <c r="A368" s="62"/>
      <c r="B368" s="104"/>
      <c r="C368" s="104"/>
      <c r="D368" s="104"/>
      <c r="E368" s="104"/>
      <c r="F368" s="104"/>
      <c r="G368" s="104"/>
      <c r="H368" s="104"/>
    </row>
    <row r="369" spans="1:8">
      <c r="A369" s="62"/>
      <c r="B369" s="104"/>
      <c r="C369" s="104"/>
      <c r="D369" s="104"/>
      <c r="E369" s="104"/>
      <c r="F369" s="104"/>
      <c r="G369" s="104"/>
      <c r="H369" s="104"/>
    </row>
    <row r="370" spans="1:8">
      <c r="A370" s="62"/>
      <c r="B370" s="104"/>
      <c r="C370" s="104"/>
      <c r="D370" s="104"/>
      <c r="E370" s="104"/>
      <c r="F370" s="104"/>
      <c r="G370" s="104"/>
      <c r="H370" s="104"/>
    </row>
    <row r="371" spans="1:8">
      <c r="A371" s="62"/>
      <c r="B371" s="104"/>
      <c r="C371" s="104"/>
      <c r="D371" s="104"/>
      <c r="E371" s="104"/>
      <c r="F371" s="104"/>
      <c r="G371" s="104"/>
      <c r="H371" s="104"/>
    </row>
    <row r="372" spans="1:8">
      <c r="A372" s="62"/>
      <c r="B372" s="104"/>
      <c r="C372" s="104"/>
      <c r="D372" s="104"/>
      <c r="E372" s="104"/>
      <c r="F372" s="104"/>
      <c r="G372" s="104"/>
      <c r="H372" s="104"/>
    </row>
    <row r="373" spans="1:8">
      <c r="A373" s="62"/>
      <c r="B373" s="104"/>
      <c r="C373" s="104"/>
      <c r="D373" s="104"/>
      <c r="E373" s="104"/>
      <c r="F373" s="104"/>
      <c r="G373" s="104"/>
      <c r="H373" s="104"/>
    </row>
    <row r="374" spans="1:8">
      <c r="A374" s="62"/>
      <c r="B374" s="104"/>
      <c r="C374" s="104"/>
      <c r="D374" s="104"/>
      <c r="E374" s="104"/>
      <c r="F374" s="104"/>
      <c r="G374" s="104"/>
      <c r="H374" s="104"/>
    </row>
    <row r="375" spans="1:8">
      <c r="A375" s="62"/>
      <c r="B375" s="104"/>
      <c r="C375" s="104"/>
      <c r="D375" s="104"/>
      <c r="E375" s="104"/>
      <c r="F375" s="104"/>
      <c r="G375" s="104"/>
      <c r="H375" s="104"/>
    </row>
    <row r="376" spans="1:8">
      <c r="A376" s="62"/>
      <c r="B376" s="104"/>
      <c r="C376" s="104"/>
      <c r="D376" s="104"/>
      <c r="E376" s="104"/>
      <c r="F376" s="104"/>
      <c r="G376" s="104"/>
      <c r="H376" s="104"/>
    </row>
    <row r="377" spans="1:8">
      <c r="A377" s="62"/>
      <c r="B377" s="104"/>
      <c r="C377" s="104"/>
      <c r="D377" s="104"/>
      <c r="E377" s="104"/>
      <c r="F377" s="104"/>
      <c r="G377" s="104"/>
      <c r="H377" s="104"/>
    </row>
    <row r="378" spans="1:8">
      <c r="A378" s="62"/>
      <c r="B378" s="104"/>
      <c r="C378" s="104"/>
      <c r="D378" s="104"/>
      <c r="E378" s="104"/>
      <c r="F378" s="104"/>
      <c r="G378" s="104"/>
      <c r="H378" s="104"/>
    </row>
    <row r="379" spans="1:8">
      <c r="A379" s="62"/>
      <c r="B379" s="104"/>
      <c r="C379" s="104"/>
      <c r="D379" s="104"/>
      <c r="E379" s="104"/>
      <c r="F379" s="104"/>
      <c r="G379" s="104"/>
      <c r="H379" s="104"/>
    </row>
    <row r="380" spans="1:8">
      <c r="A380" s="62"/>
      <c r="B380" s="104"/>
      <c r="C380" s="104"/>
      <c r="D380" s="104"/>
      <c r="E380" s="104"/>
      <c r="F380" s="104"/>
      <c r="G380" s="104"/>
      <c r="H380" s="104"/>
    </row>
    <row r="381" spans="1:8">
      <c r="A381" s="62"/>
      <c r="B381" s="104"/>
      <c r="C381" s="104"/>
      <c r="D381" s="104"/>
      <c r="E381" s="104"/>
      <c r="F381" s="104"/>
      <c r="G381" s="104"/>
      <c r="H381" s="104"/>
    </row>
    <row r="382" spans="1:8">
      <c r="A382" s="62"/>
      <c r="B382" s="104"/>
      <c r="C382" s="104"/>
      <c r="D382" s="104"/>
      <c r="E382" s="104"/>
      <c r="F382" s="104"/>
      <c r="G382" s="104"/>
      <c r="H382" s="104"/>
    </row>
    <row r="383" spans="1:8">
      <c r="A383" s="62"/>
      <c r="B383" s="104"/>
      <c r="C383" s="104"/>
      <c r="D383" s="104"/>
      <c r="E383" s="104"/>
      <c r="F383" s="104"/>
      <c r="G383" s="104"/>
      <c r="H383" s="104"/>
    </row>
    <row r="384" spans="1:8">
      <c r="A384" s="62"/>
      <c r="B384" s="104"/>
      <c r="C384" s="104"/>
      <c r="D384" s="104"/>
      <c r="E384" s="104"/>
      <c r="F384" s="104"/>
      <c r="G384" s="104"/>
      <c r="H384" s="104"/>
    </row>
    <row r="385" spans="1:8">
      <c r="A385" s="62"/>
      <c r="B385" s="104"/>
      <c r="C385" s="104"/>
      <c r="D385" s="104"/>
      <c r="E385" s="104"/>
      <c r="F385" s="104"/>
      <c r="G385" s="104"/>
      <c r="H385" s="104"/>
    </row>
    <row r="386" spans="1:8">
      <c r="A386" s="62"/>
      <c r="B386" s="104"/>
      <c r="C386" s="104"/>
      <c r="D386" s="104"/>
      <c r="E386" s="104"/>
      <c r="F386" s="104"/>
      <c r="G386" s="104"/>
      <c r="H386" s="104"/>
    </row>
    <row r="387" spans="1:8">
      <c r="A387" s="62"/>
      <c r="B387" s="104"/>
      <c r="C387" s="104"/>
      <c r="D387" s="104"/>
      <c r="E387" s="104"/>
      <c r="F387" s="104"/>
      <c r="G387" s="104"/>
      <c r="H387" s="104"/>
    </row>
    <row r="388" spans="1:8">
      <c r="A388" s="62"/>
      <c r="B388" s="104"/>
      <c r="C388" s="104"/>
      <c r="D388" s="104"/>
      <c r="E388" s="104"/>
      <c r="F388" s="104"/>
      <c r="G388" s="104"/>
      <c r="H388" s="104"/>
    </row>
    <row r="389" spans="1:8">
      <c r="A389" s="62"/>
      <c r="B389" s="104"/>
      <c r="C389" s="104"/>
      <c r="D389" s="104"/>
      <c r="E389" s="104"/>
      <c r="F389" s="104"/>
      <c r="G389" s="104"/>
      <c r="H389" s="104"/>
    </row>
    <row r="390" spans="1:8">
      <c r="A390" s="62"/>
      <c r="B390" s="104"/>
      <c r="C390" s="104"/>
      <c r="D390" s="104"/>
      <c r="E390" s="104"/>
      <c r="F390" s="104"/>
      <c r="G390" s="104"/>
      <c r="H390" s="104"/>
    </row>
    <row r="391" spans="1:8">
      <c r="A391" s="62"/>
      <c r="B391" s="104"/>
      <c r="C391" s="104"/>
      <c r="D391" s="104"/>
      <c r="E391" s="104"/>
      <c r="F391" s="104"/>
      <c r="G391" s="104"/>
      <c r="H391" s="104"/>
    </row>
    <row r="392" spans="1:8">
      <c r="A392" s="62"/>
      <c r="B392" s="104"/>
      <c r="C392" s="104"/>
      <c r="D392" s="104"/>
      <c r="E392" s="104"/>
      <c r="F392" s="104"/>
      <c r="G392" s="104"/>
      <c r="H392" s="104"/>
    </row>
    <row r="393" spans="1:8">
      <c r="A393" s="62"/>
      <c r="B393" s="104"/>
      <c r="C393" s="104"/>
      <c r="D393" s="104"/>
      <c r="E393" s="104"/>
      <c r="F393" s="104"/>
      <c r="G393" s="104"/>
      <c r="H393" s="104"/>
    </row>
    <row r="394" spans="1:8">
      <c r="A394" s="62"/>
      <c r="B394" s="104"/>
      <c r="C394" s="104"/>
      <c r="D394" s="104"/>
      <c r="E394" s="104"/>
      <c r="F394" s="104"/>
      <c r="G394" s="104"/>
      <c r="H394" s="104"/>
    </row>
    <row r="395" spans="1:8">
      <c r="A395" s="62"/>
      <c r="B395" s="104"/>
      <c r="C395" s="104"/>
      <c r="D395" s="104"/>
      <c r="E395" s="104"/>
      <c r="F395" s="104"/>
      <c r="G395" s="104"/>
      <c r="H395" s="104"/>
    </row>
    <row r="396" spans="1:8">
      <c r="A396" s="62"/>
      <c r="B396" s="104"/>
      <c r="C396" s="104"/>
      <c r="D396" s="104"/>
      <c r="E396" s="104"/>
      <c r="F396" s="104"/>
      <c r="G396" s="104"/>
      <c r="H396" s="104"/>
    </row>
    <row r="397" spans="1:8">
      <c r="A397" s="62"/>
      <c r="B397" s="104"/>
      <c r="C397" s="104"/>
      <c r="D397" s="104"/>
      <c r="E397" s="104"/>
      <c r="F397" s="104"/>
      <c r="G397" s="104"/>
      <c r="H397" s="104"/>
    </row>
    <row r="398" spans="1:8">
      <c r="A398" s="62"/>
      <c r="B398" s="104"/>
      <c r="C398" s="104"/>
      <c r="D398" s="104"/>
      <c r="E398" s="104"/>
      <c r="F398" s="104"/>
      <c r="G398" s="104"/>
      <c r="H398" s="104"/>
    </row>
    <row r="399" spans="1:8">
      <c r="A399" s="62"/>
      <c r="B399" s="104"/>
      <c r="C399" s="104"/>
      <c r="D399" s="104"/>
      <c r="E399" s="104"/>
      <c r="F399" s="104"/>
      <c r="G399" s="104"/>
      <c r="H399" s="104"/>
    </row>
    <row r="400" spans="1:8">
      <c r="A400" s="62"/>
      <c r="B400" s="104"/>
      <c r="C400" s="104"/>
      <c r="D400" s="104"/>
      <c r="E400" s="104"/>
      <c r="F400" s="104"/>
      <c r="G400" s="104"/>
      <c r="H400" s="104"/>
    </row>
    <row r="401" spans="1:8">
      <c r="A401" s="62"/>
      <c r="B401" s="104"/>
      <c r="C401" s="104"/>
      <c r="D401" s="104"/>
      <c r="E401" s="104"/>
      <c r="F401" s="104"/>
      <c r="G401" s="104"/>
      <c r="H401" s="104"/>
    </row>
    <row r="402" spans="1:8">
      <c r="A402" s="62"/>
      <c r="B402" s="104"/>
      <c r="C402" s="104"/>
      <c r="D402" s="104"/>
      <c r="E402" s="104"/>
      <c r="F402" s="104"/>
      <c r="G402" s="104"/>
      <c r="H402" s="104"/>
    </row>
    <row r="403" spans="1:8">
      <c r="A403" s="62"/>
      <c r="B403" s="104"/>
      <c r="C403" s="104"/>
      <c r="D403" s="104"/>
      <c r="E403" s="104"/>
      <c r="F403" s="104"/>
      <c r="G403" s="104"/>
      <c r="H403" s="104"/>
    </row>
    <row r="404" spans="1:8">
      <c r="A404" s="62"/>
      <c r="B404" s="104"/>
      <c r="C404" s="104"/>
      <c r="D404" s="104"/>
      <c r="E404" s="104"/>
      <c r="F404" s="104"/>
      <c r="G404" s="104"/>
      <c r="H404" s="104"/>
    </row>
    <row r="405" spans="1:8">
      <c r="A405" s="62"/>
      <c r="B405" s="104"/>
      <c r="C405" s="104"/>
      <c r="D405" s="104"/>
      <c r="E405" s="104"/>
      <c r="F405" s="104"/>
      <c r="G405" s="104"/>
      <c r="H405" s="104"/>
    </row>
    <row r="406" spans="1:8">
      <c r="A406" s="62"/>
      <c r="B406" s="104"/>
      <c r="C406" s="104"/>
      <c r="D406" s="104"/>
      <c r="E406" s="104"/>
      <c r="F406" s="104"/>
      <c r="G406" s="104"/>
      <c r="H406" s="104"/>
    </row>
    <row r="407" spans="1:8">
      <c r="A407" s="62"/>
      <c r="B407" s="104"/>
      <c r="C407" s="104"/>
      <c r="D407" s="104"/>
      <c r="E407" s="104"/>
      <c r="F407" s="104"/>
      <c r="G407" s="104"/>
      <c r="H407" s="104"/>
    </row>
    <row r="408" spans="1:8">
      <c r="A408" s="62"/>
      <c r="B408" s="104"/>
      <c r="C408" s="104"/>
      <c r="D408" s="104"/>
      <c r="E408" s="104"/>
      <c r="F408" s="104"/>
      <c r="G408" s="104"/>
      <c r="H408" s="104"/>
    </row>
    <row r="409" spans="1:8">
      <c r="A409" s="62"/>
      <c r="B409" s="104"/>
      <c r="C409" s="104"/>
      <c r="D409" s="104"/>
      <c r="E409" s="104"/>
      <c r="F409" s="104"/>
      <c r="G409" s="104"/>
      <c r="H409" s="104"/>
    </row>
    <row r="410" spans="1:8">
      <c r="A410" s="62"/>
      <c r="B410" s="104"/>
      <c r="C410" s="104"/>
      <c r="D410" s="104"/>
      <c r="E410" s="104"/>
      <c r="F410" s="104"/>
      <c r="G410" s="104"/>
      <c r="H410" s="104"/>
    </row>
    <row r="411" spans="1:8">
      <c r="A411" s="62"/>
      <c r="B411" s="104"/>
      <c r="C411" s="104"/>
      <c r="D411" s="104"/>
      <c r="E411" s="104"/>
      <c r="F411" s="104"/>
      <c r="G411" s="104"/>
      <c r="H411" s="104"/>
    </row>
    <row r="412" spans="1:8">
      <c r="A412" s="62"/>
      <c r="B412" s="104"/>
      <c r="C412" s="104"/>
      <c r="D412" s="104"/>
      <c r="E412" s="104"/>
      <c r="F412" s="104"/>
      <c r="G412" s="104"/>
      <c r="H412" s="104"/>
    </row>
    <row r="413" spans="1:8">
      <c r="A413" s="62"/>
      <c r="B413" s="104"/>
      <c r="C413" s="104"/>
      <c r="D413" s="104"/>
      <c r="E413" s="104"/>
      <c r="F413" s="104"/>
      <c r="G413" s="104"/>
      <c r="H413" s="104"/>
    </row>
    <row r="414" spans="1:8">
      <c r="A414" s="62"/>
      <c r="B414" s="104"/>
      <c r="C414" s="104"/>
      <c r="D414" s="104"/>
      <c r="E414" s="104"/>
      <c r="F414" s="104"/>
      <c r="G414" s="104"/>
      <c r="H414" s="104"/>
    </row>
    <row r="415" spans="1:8">
      <c r="A415" s="62"/>
      <c r="B415" s="104"/>
      <c r="C415" s="104"/>
      <c r="D415" s="104"/>
      <c r="E415" s="104"/>
      <c r="F415" s="104"/>
      <c r="G415" s="104"/>
      <c r="H415" s="104"/>
    </row>
    <row r="416" spans="1:8">
      <c r="A416" s="62"/>
      <c r="B416" s="104"/>
      <c r="C416" s="104"/>
      <c r="D416" s="104"/>
      <c r="E416" s="104"/>
      <c r="F416" s="104"/>
      <c r="G416" s="104"/>
      <c r="H416" s="104"/>
    </row>
    <row r="417" spans="1:8">
      <c r="A417" s="62"/>
      <c r="B417" s="104"/>
      <c r="C417" s="104"/>
      <c r="D417" s="104"/>
      <c r="E417" s="104"/>
      <c r="F417" s="104"/>
      <c r="G417" s="104"/>
      <c r="H417" s="104"/>
    </row>
    <row r="418" spans="1:8">
      <c r="A418" s="62"/>
      <c r="B418" s="104"/>
      <c r="C418" s="104"/>
      <c r="D418" s="104"/>
      <c r="E418" s="104"/>
      <c r="F418" s="104"/>
      <c r="G418" s="104"/>
      <c r="H418" s="104"/>
    </row>
    <row r="419" spans="1:8">
      <c r="A419" s="62"/>
      <c r="B419" s="104"/>
      <c r="C419" s="104"/>
      <c r="D419" s="104"/>
      <c r="E419" s="104"/>
      <c r="F419" s="104"/>
      <c r="G419" s="104"/>
      <c r="H419" s="104"/>
    </row>
    <row r="420" spans="1:8">
      <c r="A420" s="62"/>
      <c r="B420" s="104"/>
      <c r="C420" s="104"/>
      <c r="D420" s="104"/>
      <c r="E420" s="104"/>
      <c r="F420" s="104"/>
      <c r="G420" s="104"/>
      <c r="H420" s="104"/>
    </row>
    <row r="421" spans="1:8">
      <c r="A421" s="62"/>
      <c r="B421" s="104"/>
      <c r="C421" s="104"/>
      <c r="D421" s="104"/>
      <c r="E421" s="104"/>
      <c r="F421" s="104"/>
      <c r="G421" s="104"/>
      <c r="H421" s="104"/>
    </row>
    <row r="422" spans="1:8">
      <c r="A422" s="62"/>
      <c r="B422" s="104"/>
      <c r="C422" s="104"/>
      <c r="D422" s="104"/>
      <c r="E422" s="104"/>
      <c r="F422" s="104"/>
      <c r="G422" s="104"/>
      <c r="H422" s="104"/>
    </row>
    <row r="423" spans="1:8">
      <c r="A423" s="62"/>
      <c r="B423" s="104"/>
      <c r="C423" s="104"/>
      <c r="D423" s="104"/>
      <c r="E423" s="104"/>
      <c r="F423" s="104"/>
      <c r="G423" s="104"/>
      <c r="H423" s="104"/>
    </row>
    <row r="424" spans="1:8">
      <c r="A424" s="62"/>
      <c r="B424" s="104"/>
      <c r="C424" s="104"/>
      <c r="D424" s="104"/>
      <c r="E424" s="104"/>
      <c r="F424" s="104"/>
      <c r="G424" s="104"/>
      <c r="H424" s="104"/>
    </row>
    <row r="425" spans="1:8">
      <c r="A425" s="62"/>
      <c r="B425" s="104"/>
      <c r="C425" s="104"/>
      <c r="D425" s="104"/>
      <c r="E425" s="104"/>
      <c r="F425" s="104"/>
      <c r="G425" s="104"/>
      <c r="H425" s="104"/>
    </row>
    <row r="426" spans="1:8">
      <c r="A426" s="62"/>
      <c r="B426" s="104"/>
      <c r="C426" s="104"/>
      <c r="D426" s="104"/>
      <c r="E426" s="104"/>
      <c r="F426" s="104"/>
      <c r="G426" s="104"/>
      <c r="H426" s="104"/>
    </row>
    <row r="427" spans="1:8">
      <c r="A427" s="62"/>
      <c r="B427" s="104"/>
      <c r="C427" s="104"/>
      <c r="D427" s="104"/>
      <c r="E427" s="104"/>
      <c r="F427" s="104"/>
      <c r="G427" s="104"/>
      <c r="H427" s="104"/>
    </row>
    <row r="428" spans="1:8">
      <c r="A428" s="62"/>
      <c r="B428" s="104"/>
      <c r="C428" s="104"/>
      <c r="D428" s="104"/>
      <c r="E428" s="104"/>
      <c r="F428" s="104"/>
      <c r="G428" s="104"/>
      <c r="H428" s="104"/>
    </row>
    <row r="429" spans="1:8">
      <c r="A429" s="62"/>
      <c r="B429" s="104"/>
      <c r="C429" s="104"/>
      <c r="D429" s="104"/>
      <c r="E429" s="104"/>
      <c r="F429" s="104"/>
      <c r="G429" s="104"/>
      <c r="H429" s="104"/>
    </row>
    <row r="430" spans="1:8">
      <c r="A430" s="62"/>
      <c r="B430" s="104"/>
      <c r="C430" s="104"/>
      <c r="D430" s="104"/>
      <c r="E430" s="104"/>
      <c r="F430" s="104"/>
      <c r="G430" s="104"/>
      <c r="H430" s="104"/>
    </row>
    <row r="431" spans="1:8">
      <c r="A431" s="62"/>
      <c r="B431" s="104"/>
      <c r="C431" s="104"/>
      <c r="D431" s="104"/>
      <c r="E431" s="104"/>
      <c r="F431" s="104"/>
      <c r="G431" s="104"/>
      <c r="H431" s="104"/>
    </row>
    <row r="432" spans="1:8">
      <c r="A432" s="62"/>
      <c r="B432" s="104"/>
      <c r="C432" s="104"/>
      <c r="D432" s="104"/>
      <c r="E432" s="104"/>
      <c r="F432" s="104"/>
      <c r="G432" s="104"/>
      <c r="H432" s="104"/>
    </row>
    <row r="433" spans="1:8">
      <c r="A433" s="62"/>
      <c r="B433" s="104"/>
      <c r="C433" s="104"/>
      <c r="D433" s="104"/>
      <c r="E433" s="104"/>
      <c r="F433" s="104"/>
      <c r="G433" s="104"/>
      <c r="H433" s="104"/>
    </row>
    <row r="434" spans="1:8">
      <c r="A434" s="62"/>
      <c r="B434" s="104"/>
      <c r="C434" s="104"/>
      <c r="D434" s="104"/>
      <c r="E434" s="104"/>
      <c r="F434" s="104"/>
      <c r="G434" s="104"/>
      <c r="H434" s="104"/>
    </row>
    <row r="435" spans="1:8">
      <c r="A435" s="62"/>
      <c r="B435" s="104"/>
      <c r="C435" s="104"/>
      <c r="D435" s="104"/>
      <c r="E435" s="104"/>
      <c r="F435" s="104"/>
      <c r="G435" s="104"/>
      <c r="H435" s="104"/>
    </row>
    <row r="436" spans="1:8">
      <c r="A436" s="62"/>
      <c r="B436" s="104"/>
      <c r="C436" s="104"/>
      <c r="D436" s="104"/>
      <c r="E436" s="104"/>
      <c r="F436" s="104"/>
      <c r="G436" s="104"/>
      <c r="H436" s="104"/>
    </row>
    <row r="437" spans="1:8">
      <c r="A437" s="62"/>
      <c r="B437" s="104"/>
      <c r="C437" s="104"/>
      <c r="D437" s="104"/>
      <c r="E437" s="104"/>
      <c r="F437" s="104"/>
      <c r="G437" s="104"/>
      <c r="H437" s="104"/>
    </row>
    <row r="438" spans="1:8">
      <c r="A438" s="62"/>
      <c r="B438" s="104"/>
      <c r="C438" s="104"/>
      <c r="D438" s="104"/>
      <c r="E438" s="104"/>
      <c r="F438" s="104"/>
      <c r="G438" s="104"/>
      <c r="H438" s="104"/>
    </row>
    <row r="439" spans="1:8">
      <c r="A439" s="62"/>
      <c r="B439" s="104"/>
      <c r="C439" s="104"/>
      <c r="D439" s="104"/>
      <c r="E439" s="104"/>
      <c r="F439" s="104"/>
      <c r="G439" s="104"/>
      <c r="H439" s="104"/>
    </row>
    <row r="440" spans="1:8">
      <c r="A440" s="62"/>
      <c r="B440" s="104"/>
      <c r="C440" s="104"/>
      <c r="D440" s="104"/>
      <c r="E440" s="104"/>
      <c r="F440" s="104"/>
      <c r="G440" s="104"/>
      <c r="H440" s="104"/>
    </row>
    <row r="441" spans="1:8">
      <c r="A441" s="62"/>
      <c r="B441" s="104"/>
      <c r="C441" s="104"/>
      <c r="D441" s="104"/>
      <c r="E441" s="104"/>
      <c r="F441" s="104"/>
      <c r="G441" s="104"/>
      <c r="H441" s="104"/>
    </row>
    <row r="442" spans="1:8">
      <c r="A442" s="62"/>
      <c r="B442" s="104"/>
      <c r="C442" s="104"/>
      <c r="D442" s="104"/>
      <c r="E442" s="104"/>
      <c r="F442" s="104"/>
      <c r="G442" s="104"/>
      <c r="H442" s="104"/>
    </row>
    <row r="443" spans="1:8">
      <c r="A443" s="62"/>
      <c r="B443" s="104"/>
      <c r="C443" s="104"/>
      <c r="D443" s="104"/>
      <c r="E443" s="104"/>
      <c r="F443" s="104"/>
      <c r="G443" s="104"/>
      <c r="H443" s="104"/>
    </row>
    <row r="444" spans="1:8">
      <c r="A444" s="62"/>
      <c r="B444" s="104"/>
      <c r="C444" s="104"/>
      <c r="D444" s="104"/>
      <c r="E444" s="104"/>
      <c r="F444" s="104"/>
      <c r="G444" s="104"/>
      <c r="H444" s="104"/>
    </row>
    <row r="445" spans="1:8">
      <c r="A445" s="62"/>
      <c r="B445" s="104"/>
      <c r="C445" s="104"/>
      <c r="D445" s="104"/>
      <c r="E445" s="104"/>
      <c r="F445" s="104"/>
      <c r="G445" s="104"/>
      <c r="H445" s="104"/>
    </row>
    <row r="446" spans="1:8">
      <c r="A446" s="62"/>
      <c r="B446" s="104"/>
      <c r="C446" s="104"/>
      <c r="D446" s="104"/>
      <c r="E446" s="104"/>
      <c r="F446" s="104"/>
      <c r="G446" s="104"/>
      <c r="H446" s="104"/>
    </row>
    <row r="447" spans="1:8">
      <c r="A447" s="62"/>
      <c r="B447" s="104"/>
      <c r="C447" s="104"/>
      <c r="D447" s="104"/>
      <c r="E447" s="104"/>
      <c r="F447" s="104"/>
      <c r="G447" s="104"/>
      <c r="H447" s="104"/>
    </row>
    <row r="448" spans="1:8">
      <c r="A448" s="62"/>
      <c r="B448" s="104"/>
      <c r="C448" s="104"/>
      <c r="D448" s="104"/>
      <c r="E448" s="104"/>
      <c r="F448" s="104"/>
      <c r="G448" s="104"/>
      <c r="H448" s="104"/>
    </row>
    <row r="449" spans="1:8">
      <c r="A449" s="62"/>
      <c r="B449" s="104"/>
      <c r="C449" s="104"/>
      <c r="D449" s="104"/>
      <c r="E449" s="104"/>
      <c r="F449" s="104"/>
      <c r="G449" s="104"/>
      <c r="H449" s="104"/>
    </row>
    <row r="450" spans="1:8">
      <c r="A450" s="62"/>
      <c r="B450" s="104"/>
      <c r="C450" s="104"/>
      <c r="D450" s="104"/>
      <c r="E450" s="104"/>
      <c r="F450" s="104"/>
      <c r="G450" s="104"/>
      <c r="H450" s="104"/>
    </row>
    <row r="451" spans="1:8">
      <c r="A451" s="62"/>
      <c r="B451" s="104"/>
      <c r="C451" s="104"/>
      <c r="D451" s="104"/>
      <c r="E451" s="104"/>
      <c r="F451" s="104"/>
      <c r="G451" s="104"/>
      <c r="H451" s="104"/>
    </row>
    <row r="452" spans="1:8">
      <c r="A452" s="62"/>
      <c r="B452" s="104"/>
      <c r="C452" s="104"/>
      <c r="D452" s="104"/>
      <c r="E452" s="104"/>
      <c r="F452" s="104"/>
      <c r="G452" s="104"/>
      <c r="H452" s="104"/>
    </row>
    <row r="453" spans="1:8">
      <c r="A453" s="62"/>
      <c r="B453" s="104"/>
      <c r="C453" s="104"/>
      <c r="D453" s="104"/>
      <c r="E453" s="104"/>
      <c r="F453" s="104"/>
      <c r="G453" s="104"/>
      <c r="H453" s="104"/>
    </row>
    <row r="454" spans="1:8">
      <c r="A454" s="62"/>
      <c r="B454" s="104"/>
      <c r="C454" s="104"/>
      <c r="D454" s="104"/>
      <c r="E454" s="104"/>
      <c r="F454" s="104"/>
      <c r="G454" s="104"/>
      <c r="H454" s="104"/>
    </row>
    <row r="455" spans="1:8">
      <c r="A455" s="62"/>
      <c r="B455" s="104"/>
      <c r="C455" s="104"/>
      <c r="D455" s="104"/>
      <c r="E455" s="104"/>
      <c r="F455" s="104"/>
      <c r="G455" s="104"/>
      <c r="H455" s="104"/>
    </row>
    <row r="456" spans="1:8">
      <c r="A456" s="62"/>
      <c r="B456" s="104"/>
      <c r="C456" s="104"/>
      <c r="D456" s="104"/>
      <c r="E456" s="104"/>
      <c r="F456" s="104"/>
      <c r="G456" s="104"/>
      <c r="H456" s="104"/>
    </row>
    <row r="457" spans="1:8">
      <c r="A457" s="62"/>
      <c r="B457" s="104"/>
      <c r="C457" s="104"/>
      <c r="D457" s="104"/>
      <c r="E457" s="104"/>
      <c r="F457" s="104"/>
      <c r="G457" s="104"/>
      <c r="H457" s="104"/>
    </row>
    <row r="458" spans="1:8">
      <c r="A458" s="62"/>
      <c r="B458" s="104"/>
      <c r="C458" s="104"/>
      <c r="D458" s="104"/>
      <c r="E458" s="104"/>
      <c r="F458" s="104"/>
      <c r="G458" s="104"/>
      <c r="H458" s="104"/>
    </row>
    <row r="459" spans="1:8">
      <c r="A459" s="62"/>
      <c r="B459" s="104"/>
      <c r="C459" s="104"/>
      <c r="D459" s="104"/>
      <c r="E459" s="104"/>
      <c r="F459" s="104"/>
      <c r="G459" s="104"/>
      <c r="H459" s="104"/>
    </row>
    <row r="460" spans="1:8">
      <c r="A460" s="62"/>
      <c r="B460" s="104"/>
      <c r="C460" s="104"/>
      <c r="D460" s="104"/>
      <c r="E460" s="104"/>
      <c r="F460" s="104"/>
      <c r="G460" s="104"/>
      <c r="H460" s="104"/>
    </row>
    <row r="461" spans="1:8">
      <c r="A461" s="62"/>
      <c r="B461" s="104"/>
      <c r="C461" s="104"/>
      <c r="D461" s="104"/>
      <c r="E461" s="104"/>
      <c r="F461" s="104"/>
      <c r="G461" s="104"/>
      <c r="H461" s="104"/>
    </row>
    <row r="462" spans="1:8">
      <c r="A462" s="62"/>
      <c r="B462" s="104"/>
      <c r="C462" s="104"/>
      <c r="D462" s="104"/>
      <c r="E462" s="104"/>
      <c r="F462" s="104"/>
      <c r="G462" s="104"/>
      <c r="H462" s="104"/>
    </row>
    <row r="463" spans="1:8">
      <c r="A463" s="62"/>
      <c r="B463" s="104"/>
      <c r="C463" s="104"/>
      <c r="D463" s="104"/>
      <c r="E463" s="104"/>
      <c r="F463" s="104"/>
      <c r="G463" s="104"/>
      <c r="H463" s="104"/>
    </row>
    <row r="464" spans="1:8">
      <c r="A464" s="62"/>
      <c r="B464" s="104"/>
      <c r="C464" s="104"/>
      <c r="D464" s="104"/>
      <c r="E464" s="104"/>
      <c r="F464" s="104"/>
      <c r="G464" s="104"/>
      <c r="H464" s="104"/>
    </row>
    <row r="465" spans="1:8">
      <c r="A465" s="62"/>
      <c r="B465" s="104"/>
      <c r="C465" s="104"/>
      <c r="D465" s="104"/>
      <c r="E465" s="104"/>
      <c r="F465" s="104"/>
      <c r="G465" s="104"/>
      <c r="H465" s="104"/>
    </row>
    <row r="466" spans="1:8">
      <c r="A466" s="62"/>
      <c r="B466" s="104"/>
      <c r="C466" s="104"/>
      <c r="D466" s="104"/>
      <c r="E466" s="104"/>
      <c r="F466" s="104"/>
      <c r="G466" s="104"/>
      <c r="H466" s="104"/>
    </row>
    <row r="467" spans="1:8">
      <c r="A467" s="62"/>
      <c r="B467" s="104"/>
      <c r="C467" s="104"/>
      <c r="D467" s="104"/>
      <c r="E467" s="104"/>
      <c r="F467" s="104"/>
      <c r="G467" s="104"/>
      <c r="H467" s="104"/>
    </row>
    <row r="468" spans="1:8">
      <c r="A468" s="62"/>
      <c r="B468" s="104"/>
      <c r="C468" s="104"/>
      <c r="D468" s="104"/>
      <c r="E468" s="104"/>
      <c r="F468" s="104"/>
      <c r="G468" s="104"/>
      <c r="H468" s="104"/>
    </row>
    <row r="469" spans="1:8">
      <c r="A469" s="62"/>
      <c r="B469" s="104"/>
      <c r="C469" s="104"/>
      <c r="D469" s="104"/>
      <c r="E469" s="104"/>
      <c r="F469" s="104"/>
      <c r="G469" s="104"/>
      <c r="H469" s="104"/>
    </row>
    <row r="470" spans="1:8">
      <c r="A470" s="62"/>
      <c r="B470" s="104"/>
      <c r="C470" s="104"/>
      <c r="D470" s="104"/>
      <c r="E470" s="104"/>
      <c r="F470" s="104"/>
      <c r="G470" s="104"/>
      <c r="H470" s="104"/>
    </row>
    <row r="471" spans="1:8">
      <c r="A471" s="62"/>
      <c r="B471" s="104"/>
      <c r="C471" s="104"/>
      <c r="D471" s="104"/>
      <c r="E471" s="104"/>
      <c r="F471" s="104"/>
      <c r="G471" s="104"/>
      <c r="H471" s="104"/>
    </row>
    <row r="472" spans="1:8">
      <c r="A472" s="62"/>
      <c r="B472" s="104"/>
      <c r="C472" s="104"/>
      <c r="D472" s="104"/>
      <c r="E472" s="104"/>
      <c r="F472" s="104"/>
      <c r="G472" s="104"/>
      <c r="H472" s="104"/>
    </row>
    <row r="473" spans="1:8">
      <c r="A473" s="62"/>
      <c r="B473" s="104"/>
      <c r="C473" s="104"/>
      <c r="D473" s="104"/>
      <c r="E473" s="104"/>
      <c r="F473" s="104"/>
      <c r="G473" s="104"/>
      <c r="H473" s="104"/>
    </row>
    <row r="474" spans="1:8">
      <c r="A474" s="62"/>
      <c r="B474" s="104"/>
      <c r="C474" s="104"/>
      <c r="D474" s="104"/>
      <c r="E474" s="104"/>
      <c r="F474" s="104"/>
      <c r="G474" s="104"/>
      <c r="H474" s="104"/>
    </row>
    <row r="475" spans="1:8">
      <c r="A475" s="62"/>
      <c r="B475" s="104"/>
      <c r="C475" s="104"/>
      <c r="D475" s="104"/>
      <c r="E475" s="104"/>
      <c r="F475" s="104"/>
      <c r="G475" s="104"/>
      <c r="H475" s="104"/>
    </row>
    <row r="476" spans="1:8">
      <c r="A476" s="62"/>
      <c r="B476" s="104"/>
      <c r="C476" s="104"/>
      <c r="D476" s="104"/>
      <c r="E476" s="104"/>
      <c r="F476" s="104"/>
      <c r="G476" s="104"/>
      <c r="H476" s="104"/>
    </row>
    <row r="477" spans="1:8">
      <c r="A477" s="62"/>
      <c r="B477" s="104"/>
      <c r="C477" s="104"/>
      <c r="D477" s="104"/>
      <c r="E477" s="104"/>
      <c r="F477" s="104"/>
      <c r="G477" s="104"/>
      <c r="H477" s="104"/>
    </row>
    <row r="478" spans="1:8">
      <c r="A478" s="62"/>
      <c r="B478" s="104"/>
      <c r="C478" s="104"/>
      <c r="D478" s="104"/>
      <c r="E478" s="104"/>
      <c r="F478" s="104"/>
      <c r="G478" s="104"/>
      <c r="H478" s="104"/>
    </row>
    <row r="479" spans="1:8">
      <c r="A479" s="62"/>
      <c r="B479" s="104"/>
      <c r="C479" s="104"/>
      <c r="D479" s="104"/>
      <c r="E479" s="104"/>
      <c r="F479" s="104"/>
      <c r="G479" s="104"/>
      <c r="H479" s="104"/>
    </row>
    <row r="480" spans="1:8">
      <c r="A480" s="62"/>
      <c r="B480" s="104"/>
      <c r="C480" s="104"/>
      <c r="D480" s="104"/>
      <c r="E480" s="104"/>
      <c r="F480" s="104"/>
      <c r="G480" s="104"/>
      <c r="H480" s="104"/>
    </row>
    <row r="481" spans="1:8">
      <c r="A481" s="62"/>
      <c r="B481" s="104"/>
      <c r="C481" s="104"/>
      <c r="D481" s="104"/>
      <c r="E481" s="104"/>
      <c r="F481" s="104"/>
      <c r="G481" s="104"/>
      <c r="H481" s="104"/>
    </row>
    <row r="482" spans="1:8">
      <c r="A482" s="62"/>
      <c r="B482" s="104"/>
      <c r="C482" s="104"/>
      <c r="D482" s="104"/>
      <c r="E482" s="104"/>
      <c r="F482" s="104"/>
      <c r="G482" s="104"/>
      <c r="H482" s="104"/>
    </row>
    <row r="483" spans="1:8">
      <c r="A483" s="62"/>
      <c r="B483" s="104"/>
      <c r="C483" s="104"/>
      <c r="D483" s="104"/>
      <c r="E483" s="104"/>
      <c r="F483" s="104"/>
      <c r="G483" s="104"/>
      <c r="H483" s="104"/>
    </row>
    <row r="484" spans="1:8">
      <c r="A484" s="62"/>
      <c r="B484" s="104"/>
      <c r="C484" s="104"/>
      <c r="D484" s="104"/>
      <c r="E484" s="104"/>
      <c r="F484" s="104"/>
      <c r="G484" s="104"/>
      <c r="H484" s="104"/>
    </row>
    <row r="485" spans="1:8">
      <c r="A485" s="62"/>
      <c r="B485" s="104"/>
      <c r="C485" s="104"/>
      <c r="D485" s="104"/>
      <c r="E485" s="104"/>
      <c r="F485" s="104"/>
      <c r="G485" s="104"/>
      <c r="H485" s="104"/>
    </row>
    <row r="486" spans="1:8">
      <c r="A486" s="62"/>
      <c r="B486" s="104"/>
      <c r="C486" s="104"/>
      <c r="D486" s="104"/>
      <c r="E486" s="104"/>
      <c r="F486" s="104"/>
      <c r="G486" s="104"/>
      <c r="H486" s="104"/>
    </row>
    <row r="487" spans="1:8">
      <c r="A487" s="62"/>
      <c r="B487" s="104"/>
      <c r="C487" s="104"/>
      <c r="D487" s="104"/>
      <c r="E487" s="104"/>
      <c r="F487" s="104"/>
      <c r="G487" s="104"/>
      <c r="H487" s="104"/>
    </row>
    <row r="488" spans="1:8">
      <c r="A488" s="62"/>
      <c r="B488" s="104"/>
      <c r="C488" s="104"/>
      <c r="D488" s="104"/>
      <c r="E488" s="104"/>
      <c r="F488" s="104"/>
      <c r="G488" s="104"/>
      <c r="H488" s="104"/>
    </row>
    <row r="489" spans="1:8">
      <c r="A489" s="62"/>
      <c r="B489" s="104"/>
      <c r="C489" s="104"/>
      <c r="D489" s="104"/>
      <c r="E489" s="104"/>
      <c r="F489" s="104"/>
      <c r="G489" s="104"/>
      <c r="H489" s="104"/>
    </row>
    <row r="490" spans="1:8">
      <c r="A490" s="62"/>
      <c r="B490" s="104"/>
      <c r="C490" s="104"/>
      <c r="D490" s="104"/>
      <c r="E490" s="104"/>
      <c r="F490" s="104"/>
      <c r="G490" s="104"/>
      <c r="H490" s="104"/>
    </row>
    <row r="491" spans="1:8">
      <c r="A491" s="62"/>
      <c r="B491" s="104"/>
      <c r="C491" s="104"/>
      <c r="D491" s="104"/>
      <c r="E491" s="104"/>
      <c r="F491" s="104"/>
      <c r="G491" s="104"/>
      <c r="H491" s="104"/>
    </row>
    <row r="492" spans="1:8">
      <c r="A492" s="62"/>
      <c r="B492" s="104"/>
      <c r="C492" s="104"/>
      <c r="D492" s="104"/>
      <c r="E492" s="104"/>
      <c r="F492" s="104"/>
      <c r="G492" s="104"/>
      <c r="H492" s="104"/>
    </row>
    <row r="493" spans="1:8">
      <c r="A493" s="62"/>
      <c r="B493" s="104"/>
      <c r="C493" s="104"/>
      <c r="D493" s="104"/>
      <c r="E493" s="104"/>
      <c r="F493" s="104"/>
      <c r="G493" s="104"/>
      <c r="H493" s="104"/>
    </row>
    <row r="494" spans="1:8">
      <c r="A494" s="62"/>
      <c r="B494" s="104"/>
      <c r="C494" s="104"/>
      <c r="D494" s="104"/>
      <c r="E494" s="104"/>
      <c r="F494" s="104"/>
      <c r="G494" s="104"/>
      <c r="H494" s="104"/>
    </row>
    <row r="495" spans="1:8">
      <c r="A495" s="62"/>
      <c r="B495" s="104"/>
      <c r="C495" s="104"/>
      <c r="D495" s="104"/>
      <c r="E495" s="104"/>
      <c r="F495" s="104"/>
      <c r="G495" s="104"/>
      <c r="H495" s="104"/>
    </row>
    <row r="496" spans="1:8">
      <c r="A496" s="62"/>
      <c r="B496" s="104"/>
      <c r="C496" s="104"/>
      <c r="D496" s="104"/>
      <c r="E496" s="104"/>
      <c r="F496" s="104"/>
      <c r="G496" s="104"/>
      <c r="H496" s="104"/>
    </row>
    <row r="497" spans="1:8">
      <c r="A497" s="62"/>
      <c r="B497" s="104"/>
      <c r="C497" s="104"/>
      <c r="D497" s="104"/>
      <c r="E497" s="104"/>
      <c r="F497" s="104"/>
      <c r="G497" s="104"/>
      <c r="H497" s="104"/>
    </row>
    <row r="498" spans="1:8">
      <c r="A498" s="62"/>
      <c r="B498" s="104"/>
      <c r="C498" s="104"/>
      <c r="D498" s="104"/>
      <c r="E498" s="104"/>
      <c r="F498" s="104"/>
      <c r="G498" s="104"/>
      <c r="H498" s="104"/>
    </row>
    <row r="499" spans="1:8">
      <c r="A499" s="62"/>
      <c r="B499" s="104"/>
      <c r="C499" s="104"/>
      <c r="D499" s="104"/>
      <c r="E499" s="104"/>
      <c r="F499" s="104"/>
      <c r="G499" s="104"/>
      <c r="H499" s="104"/>
    </row>
    <row r="500" spans="1:8">
      <c r="A500" s="62"/>
      <c r="B500" s="104"/>
      <c r="C500" s="104"/>
      <c r="D500" s="104"/>
      <c r="E500" s="104"/>
      <c r="F500" s="104"/>
      <c r="G500" s="104"/>
      <c r="H500" s="104"/>
    </row>
    <row r="501" spans="1:8">
      <c r="A501" s="62"/>
      <c r="B501" s="104"/>
      <c r="C501" s="104"/>
      <c r="D501" s="104"/>
      <c r="E501" s="104"/>
      <c r="F501" s="104"/>
      <c r="G501" s="104"/>
      <c r="H501" s="104"/>
    </row>
    <row r="502" spans="1:8">
      <c r="A502" s="62"/>
      <c r="B502" s="104"/>
      <c r="C502" s="104"/>
      <c r="D502" s="104"/>
      <c r="E502" s="104"/>
      <c r="F502" s="104"/>
      <c r="G502" s="104"/>
      <c r="H502" s="104"/>
    </row>
    <row r="503" spans="1:8">
      <c r="A503" s="62"/>
      <c r="B503" s="104"/>
      <c r="C503" s="104"/>
      <c r="D503" s="104"/>
      <c r="E503" s="104"/>
      <c r="F503" s="104"/>
      <c r="G503" s="104"/>
      <c r="H503" s="104"/>
    </row>
    <row r="504" spans="1:8">
      <c r="A504" s="62"/>
      <c r="B504" s="104"/>
      <c r="C504" s="104"/>
      <c r="D504" s="104"/>
      <c r="E504" s="104"/>
      <c r="F504" s="104"/>
      <c r="G504" s="104"/>
      <c r="H504" s="104"/>
    </row>
    <row r="505" spans="1:8">
      <c r="A505" s="62"/>
      <c r="B505" s="104"/>
      <c r="C505" s="104"/>
      <c r="D505" s="104"/>
      <c r="E505" s="104"/>
      <c r="F505" s="104"/>
      <c r="G505" s="104"/>
      <c r="H505" s="104"/>
    </row>
    <row r="506" spans="1:8">
      <c r="A506" s="62"/>
      <c r="B506" s="104"/>
      <c r="C506" s="104"/>
      <c r="D506" s="104"/>
      <c r="E506" s="104"/>
      <c r="F506" s="104"/>
      <c r="G506" s="104"/>
      <c r="H506" s="104"/>
    </row>
    <row r="507" spans="1:8">
      <c r="A507" s="62"/>
      <c r="B507" s="104"/>
      <c r="C507" s="104"/>
      <c r="D507" s="104"/>
      <c r="E507" s="104"/>
      <c r="F507" s="104"/>
      <c r="G507" s="104"/>
      <c r="H507" s="104"/>
    </row>
    <row r="508" spans="1:8">
      <c r="A508" s="62"/>
      <c r="B508" s="104"/>
      <c r="C508" s="104"/>
      <c r="D508" s="104"/>
      <c r="E508" s="104"/>
      <c r="F508" s="104"/>
      <c r="G508" s="104"/>
      <c r="H508" s="104"/>
    </row>
    <row r="509" spans="1:8">
      <c r="A509" s="62"/>
      <c r="B509" s="104"/>
      <c r="C509" s="104"/>
      <c r="D509" s="104"/>
      <c r="E509" s="104"/>
      <c r="F509" s="104"/>
      <c r="G509" s="104"/>
      <c r="H509" s="104"/>
    </row>
    <row r="510" spans="1:8">
      <c r="A510" s="62"/>
      <c r="B510" s="104"/>
      <c r="C510" s="104"/>
      <c r="D510" s="104"/>
      <c r="E510" s="104"/>
      <c r="F510" s="104"/>
      <c r="G510" s="104"/>
      <c r="H510" s="104"/>
    </row>
    <row r="511" spans="1:8">
      <c r="A511" s="62"/>
      <c r="B511" s="104"/>
      <c r="C511" s="104"/>
      <c r="D511" s="104"/>
      <c r="E511" s="104"/>
      <c r="F511" s="104"/>
      <c r="G511" s="104"/>
      <c r="H511" s="104"/>
    </row>
    <row r="512" spans="1:8">
      <c r="A512" s="62"/>
      <c r="B512" s="104"/>
      <c r="C512" s="104"/>
      <c r="D512" s="104"/>
      <c r="E512" s="104"/>
      <c r="F512" s="104"/>
      <c r="G512" s="104"/>
      <c r="H512" s="104"/>
    </row>
    <row r="513" spans="1:8">
      <c r="A513" s="62"/>
      <c r="B513" s="104"/>
      <c r="C513" s="104"/>
      <c r="D513" s="104"/>
      <c r="E513" s="104"/>
      <c r="F513" s="104"/>
      <c r="G513" s="104"/>
      <c r="H513" s="104"/>
    </row>
  </sheetData>
  <mergeCells count="6">
    <mergeCell ref="D1:H3"/>
    <mergeCell ref="H5:H6"/>
    <mergeCell ref="A5:C5"/>
    <mergeCell ref="D5:G5"/>
    <mergeCell ref="A4:C4"/>
    <mergeCell ref="D4:H4"/>
  </mergeCells>
  <phoneticPr fontId="0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4" orientation="portrait" r:id="rId1"/>
  <headerFooter>
    <oddFooter>&amp;L&amp;"Calibri,Regular"&amp;12&amp;K184782&amp;F&amp;C&amp;"Calibri,Regular"&amp;12&amp;K184782&amp;A&amp;R&amp;"Calibri,Regular"&amp;12&amp;K184782&amp;P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pageSetUpPr fitToPage="1"/>
  </sheetPr>
  <dimension ref="A1:L414"/>
  <sheetViews>
    <sheetView showGridLines="0" zoomScaleNormal="100" workbookViewId="0">
      <pane ySplit="2490" topLeftCell="A99" activePane="bottomLeft"/>
      <selection pane="bottomLeft" activeCell="H111" sqref="H111"/>
    </sheetView>
  </sheetViews>
  <sheetFormatPr defaultRowHeight="12.75"/>
  <cols>
    <col min="1" max="1" width="13.5703125" style="67" customWidth="1"/>
    <col min="2" max="2" width="10.140625" style="67" bestFit="1" customWidth="1"/>
    <col min="3" max="3" width="10.140625" style="67" customWidth="1"/>
    <col min="4" max="7" width="9.140625" style="67"/>
    <col min="8" max="8" width="15.7109375" style="67" customWidth="1"/>
    <col min="9" max="16384" width="9.140625" style="67"/>
  </cols>
  <sheetData>
    <row r="1" spans="1:11" ht="16.5" customHeight="1">
      <c r="B1" s="101"/>
      <c r="C1" s="101"/>
      <c r="D1" s="294" t="s">
        <v>251</v>
      </c>
      <c r="E1" s="294"/>
      <c r="F1" s="294"/>
      <c r="G1" s="294"/>
      <c r="H1" s="294"/>
    </row>
    <row r="2" spans="1:11" ht="17.25" customHeight="1">
      <c r="A2" s="101"/>
      <c r="B2" s="101"/>
      <c r="C2" s="101"/>
      <c r="D2" s="294"/>
      <c r="E2" s="294"/>
      <c r="F2" s="294"/>
      <c r="G2" s="294"/>
      <c r="H2" s="294"/>
    </row>
    <row r="3" spans="1:11" ht="21" customHeight="1" thickBot="1">
      <c r="A3" s="101"/>
      <c r="B3" s="101"/>
      <c r="C3" s="101"/>
      <c r="D3" s="294"/>
      <c r="E3" s="294"/>
      <c r="F3" s="294"/>
      <c r="G3" s="294"/>
      <c r="H3" s="294"/>
    </row>
    <row r="4" spans="1:11" ht="21" customHeight="1" thickBot="1">
      <c r="A4" s="301" t="s">
        <v>62</v>
      </c>
      <c r="B4" s="302"/>
      <c r="C4" s="302"/>
      <c r="D4" s="303" t="s">
        <v>63</v>
      </c>
      <c r="E4" s="303"/>
      <c r="F4" s="303"/>
      <c r="G4" s="303"/>
      <c r="H4" s="304"/>
    </row>
    <row r="5" spans="1:11" ht="22.5" customHeight="1" thickBot="1">
      <c r="A5" s="296" t="s">
        <v>56</v>
      </c>
      <c r="B5" s="297"/>
      <c r="C5" s="297"/>
      <c r="D5" s="298" t="s">
        <v>57</v>
      </c>
      <c r="E5" s="299"/>
      <c r="F5" s="299"/>
      <c r="G5" s="300"/>
      <c r="H5" s="295" t="s">
        <v>58</v>
      </c>
    </row>
    <row r="6" spans="1:11" ht="13.5" thickBot="1">
      <c r="A6" s="128" t="s">
        <v>109</v>
      </c>
      <c r="B6" s="129" t="s">
        <v>0</v>
      </c>
      <c r="C6" s="129" t="s">
        <v>4</v>
      </c>
      <c r="D6" s="129" t="s">
        <v>1</v>
      </c>
      <c r="E6" s="129" t="s">
        <v>2</v>
      </c>
      <c r="F6" s="129" t="s">
        <v>3</v>
      </c>
      <c r="G6" s="129" t="s">
        <v>59</v>
      </c>
      <c r="H6" s="305"/>
      <c r="I6" s="109"/>
      <c r="J6" s="109"/>
      <c r="K6" s="110"/>
    </row>
    <row r="7" spans="1:11" ht="16.5" customHeight="1" thickBot="1">
      <c r="A7" s="137" t="s">
        <v>67</v>
      </c>
      <c r="B7" s="138"/>
      <c r="C7" s="138"/>
      <c r="D7" s="138"/>
      <c r="E7" s="138"/>
      <c r="F7" s="138"/>
      <c r="G7" s="138"/>
      <c r="H7" s="139"/>
      <c r="I7" s="109"/>
      <c r="J7" s="109"/>
      <c r="K7" s="110"/>
    </row>
    <row r="8" spans="1:11" ht="16.5" customHeight="1">
      <c r="A8" s="158" t="s">
        <v>214</v>
      </c>
      <c r="B8" s="159">
        <f>[3]ÓLEOS!$F$18</f>
        <v>2.0892000000000004</v>
      </c>
      <c r="C8" s="160">
        <f>100*B8/B$8</f>
        <v>100</v>
      </c>
      <c r="D8" s="160"/>
      <c r="E8" s="160"/>
      <c r="F8" s="160"/>
      <c r="G8" s="161"/>
      <c r="H8" s="162">
        <f>$B$110/B8</f>
        <v>1.647999234156615</v>
      </c>
      <c r="I8" s="110"/>
      <c r="J8" s="110"/>
      <c r="K8" s="110"/>
    </row>
    <row r="9" spans="1:11" ht="16.5" customHeight="1">
      <c r="A9" s="163" t="s">
        <v>215</v>
      </c>
      <c r="B9" s="164">
        <f>[4]ÓLEOS!$F$18</f>
        <v>2.0456000000000003</v>
      </c>
      <c r="C9" s="165">
        <f t="shared" ref="C9:C33" si="0">100*B9/B$8</f>
        <v>97.91307677579934</v>
      </c>
      <c r="D9" s="166">
        <f t="shared" ref="D9:D33" si="1">100*(B9/B8-1)</f>
        <v>-2.0869232242006541</v>
      </c>
      <c r="E9" s="166">
        <f>100*((B9/$B$8)-1)</f>
        <v>-2.0869232242006541</v>
      </c>
      <c r="F9" s="166"/>
      <c r="G9" s="167"/>
      <c r="H9" s="168">
        <f>$B$110/B9</f>
        <v>1.6831247555729369</v>
      </c>
      <c r="I9" s="110"/>
      <c r="J9" s="110"/>
      <c r="K9" s="110"/>
    </row>
    <row r="10" spans="1:11" ht="16.5" customHeight="1">
      <c r="A10" s="163" t="s">
        <v>216</v>
      </c>
      <c r="B10" s="164">
        <f>[5]ÓLEOS!$F$18</f>
        <v>2.069</v>
      </c>
      <c r="C10" s="165">
        <f t="shared" si="0"/>
        <v>99.033122726402439</v>
      </c>
      <c r="D10" s="166">
        <f t="shared" si="1"/>
        <v>1.1439186546734259</v>
      </c>
      <c r="E10" s="166">
        <f t="shared" ref="E10:E17" si="2">100*((B10/$B$8)-1)</f>
        <v>-0.96687727359756614</v>
      </c>
      <c r="F10" s="166"/>
      <c r="G10" s="167"/>
      <c r="H10" s="168">
        <f t="shared" ref="H10:H73" si="3">$B$110/B10</f>
        <v>1.664088931851136</v>
      </c>
      <c r="I10" s="110"/>
      <c r="J10" s="110"/>
      <c r="K10" s="110"/>
    </row>
    <row r="11" spans="1:11" ht="16.5" customHeight="1">
      <c r="A11" s="163" t="s">
        <v>217</v>
      </c>
      <c r="B11" s="164">
        <f>[6]ÓLEOS!$F$18</f>
        <v>2.0751999999999997</v>
      </c>
      <c r="C11" s="165">
        <f t="shared" si="0"/>
        <v>99.329887038100679</v>
      </c>
      <c r="D11" s="166">
        <f t="shared" si="1"/>
        <v>0.29966167230544016</v>
      </c>
      <c r="E11" s="166">
        <f t="shared" si="2"/>
        <v>-0.67011296189932734</v>
      </c>
      <c r="F11" s="166"/>
      <c r="G11" s="167"/>
      <c r="H11" s="168">
        <f t="shared" si="3"/>
        <v>1.6591171935235163</v>
      </c>
      <c r="I11" s="110"/>
      <c r="J11" s="110"/>
      <c r="K11" s="110"/>
    </row>
    <row r="12" spans="1:11" ht="16.5" customHeight="1">
      <c r="A12" s="163" t="s">
        <v>218</v>
      </c>
      <c r="B12" s="164">
        <f>[7]ÓLEOS!$F$18</f>
        <v>2.1390000000000002</v>
      </c>
      <c r="C12" s="165">
        <f t="shared" si="0"/>
        <v>102.3836875358989</v>
      </c>
      <c r="D12" s="166">
        <f t="shared" si="1"/>
        <v>3.0744024672320958</v>
      </c>
      <c r="E12" s="166">
        <f t="shared" si="2"/>
        <v>2.383687535898904</v>
      </c>
      <c r="F12" s="166"/>
      <c r="G12" s="167"/>
      <c r="H12" s="168">
        <f t="shared" si="3"/>
        <v>1.6096306685366994</v>
      </c>
      <c r="I12" s="110"/>
      <c r="J12" s="110"/>
      <c r="K12" s="110"/>
    </row>
    <row r="13" spans="1:11" ht="16.5" customHeight="1">
      <c r="A13" s="163" t="s">
        <v>219</v>
      </c>
      <c r="B13" s="164">
        <f>[8]ÓLEOS!$F$18</f>
        <v>2.1471999999999993</v>
      </c>
      <c r="C13" s="165">
        <f t="shared" si="0"/>
        <v>102.77618227072558</v>
      </c>
      <c r="D13" s="166">
        <f t="shared" si="1"/>
        <v>0.38335670874236616</v>
      </c>
      <c r="E13" s="166">
        <f t="shared" si="2"/>
        <v>2.7761822707255801</v>
      </c>
      <c r="F13" s="166"/>
      <c r="G13" s="167"/>
      <c r="H13" s="168">
        <f t="shared" si="3"/>
        <v>1.6034836065573779</v>
      </c>
      <c r="I13" s="110"/>
      <c r="J13" s="110"/>
      <c r="K13" s="110"/>
    </row>
    <row r="14" spans="1:11" ht="16.5" customHeight="1">
      <c r="A14" s="163" t="s">
        <v>220</v>
      </c>
      <c r="B14" s="164">
        <f>[9]ÓLEOS!$F$18</f>
        <v>2.1471999999999993</v>
      </c>
      <c r="C14" s="165">
        <f t="shared" si="0"/>
        <v>102.77618227072558</v>
      </c>
      <c r="D14" s="166">
        <f t="shared" si="1"/>
        <v>0</v>
      </c>
      <c r="E14" s="166">
        <f t="shared" si="2"/>
        <v>2.7761822707255801</v>
      </c>
      <c r="F14" s="166"/>
      <c r="G14" s="167"/>
      <c r="H14" s="168">
        <f t="shared" si="3"/>
        <v>1.6034836065573779</v>
      </c>
      <c r="I14" s="110"/>
      <c r="J14" s="110"/>
      <c r="K14" s="110"/>
    </row>
    <row r="15" spans="1:11" ht="16.5" customHeight="1">
      <c r="A15" s="163" t="s">
        <v>221</v>
      </c>
      <c r="B15" s="164">
        <f>[10]ÓLEOS!$F$18</f>
        <v>2.1772</v>
      </c>
      <c r="C15" s="165">
        <f t="shared" si="0"/>
        <v>104.21213861765267</v>
      </c>
      <c r="D15" s="166">
        <f t="shared" si="1"/>
        <v>1.3971684053651678</v>
      </c>
      <c r="E15" s="166">
        <f t="shared" si="2"/>
        <v>4.212138617652661</v>
      </c>
      <c r="F15" s="166"/>
      <c r="G15" s="167"/>
      <c r="H15" s="168">
        <f t="shared" si="3"/>
        <v>1.5813889399228369</v>
      </c>
      <c r="I15" s="110"/>
      <c r="J15" s="110"/>
      <c r="K15" s="110"/>
    </row>
    <row r="16" spans="1:11" ht="16.5" customHeight="1">
      <c r="A16" s="163" t="s">
        <v>222</v>
      </c>
      <c r="B16" s="164">
        <f>[11]ÓLEOS!$F$18</f>
        <v>2.1970000000000001</v>
      </c>
      <c r="C16" s="165">
        <f t="shared" si="0"/>
        <v>105.15986980662453</v>
      </c>
      <c r="D16" s="166">
        <f t="shared" si="1"/>
        <v>0.90942494947638952</v>
      </c>
      <c r="E16" s="166">
        <f t="shared" si="2"/>
        <v>5.1598698066245285</v>
      </c>
      <c r="F16" s="166"/>
      <c r="G16" s="167"/>
      <c r="H16" s="168">
        <f t="shared" si="3"/>
        <v>1.5671370050068276</v>
      </c>
      <c r="I16" s="111"/>
      <c r="J16" s="110"/>
      <c r="K16" s="110"/>
    </row>
    <row r="17" spans="1:11" ht="16.5" customHeight="1">
      <c r="A17" s="163" t="s">
        <v>223</v>
      </c>
      <c r="B17" s="164">
        <f>[12]ÓLEOS!$F$18</f>
        <v>2.1991999999999998</v>
      </c>
      <c r="C17" s="165">
        <f t="shared" si="0"/>
        <v>105.26517327206584</v>
      </c>
      <c r="D17" s="166">
        <f t="shared" si="1"/>
        <v>0.10013654984069031</v>
      </c>
      <c r="E17" s="166">
        <f t="shared" si="2"/>
        <v>5.2651732720658373</v>
      </c>
      <c r="F17" s="166"/>
      <c r="G17" s="167"/>
      <c r="H17" s="168">
        <f t="shared" si="3"/>
        <v>1.565569297926519</v>
      </c>
      <c r="I17" s="111"/>
      <c r="J17" s="110"/>
      <c r="K17" s="110"/>
    </row>
    <row r="18" spans="1:11" ht="16.5" customHeight="1">
      <c r="A18" s="163" t="s">
        <v>224</v>
      </c>
      <c r="B18" s="164">
        <f>[13]ÓLEOS!$F$18</f>
        <v>2.2429999999999999</v>
      </c>
      <c r="C18" s="165">
        <f t="shared" si="0"/>
        <v>107.36166953857933</v>
      </c>
      <c r="D18" s="166">
        <f t="shared" si="1"/>
        <v>1.9916333212077086</v>
      </c>
      <c r="E18" s="166">
        <f>100*((B18/$B$17)-1)</f>
        <v>1.9916333212077086</v>
      </c>
      <c r="F18" s="166"/>
      <c r="G18" s="167"/>
      <c r="H18" s="168">
        <f t="shared" si="3"/>
        <v>1.5349977708426219</v>
      </c>
      <c r="I18" s="111"/>
      <c r="J18" s="110"/>
      <c r="K18" s="110"/>
    </row>
    <row r="19" spans="1:11" ht="16.5" customHeight="1">
      <c r="A19" s="163" t="s">
        <v>225</v>
      </c>
      <c r="B19" s="164">
        <f>[14]ÓLEOS!$F$18</f>
        <v>2.3359999999999999</v>
      </c>
      <c r="C19" s="165">
        <f t="shared" si="0"/>
        <v>111.81313421405321</v>
      </c>
      <c r="D19" s="166">
        <f t="shared" si="1"/>
        <v>4.1462327240303187</v>
      </c>
      <c r="E19" s="166">
        <f t="shared" ref="E19:E29" si="4">100*((B19/$B$17)-1)</f>
        <v>6.2204437977446458</v>
      </c>
      <c r="F19" s="166"/>
      <c r="G19" s="167"/>
      <c r="H19" s="168">
        <f t="shared" si="3"/>
        <v>1.4738869863013702</v>
      </c>
      <c r="I19" s="111"/>
      <c r="J19" s="110"/>
      <c r="K19" s="110"/>
    </row>
    <row r="20" spans="1:11" ht="16.5" customHeight="1">
      <c r="A20" s="163" t="s">
        <v>226</v>
      </c>
      <c r="B20" s="164">
        <f>[15]ÓLEOS!$F$18</f>
        <v>2.4119999999999999</v>
      </c>
      <c r="C20" s="165">
        <f t="shared" si="0"/>
        <v>115.45089029293507</v>
      </c>
      <c r="D20" s="166">
        <f t="shared" si="1"/>
        <v>3.2534246575342429</v>
      </c>
      <c r="E20" s="166">
        <f t="shared" si="4"/>
        <v>9.676245907602766</v>
      </c>
      <c r="F20" s="169">
        <f t="shared" ref="F20:F33" si="5">(100*(B20/B8-1))</f>
        <v>15.450890292935071</v>
      </c>
      <c r="G20" s="170"/>
      <c r="H20" s="168">
        <f t="shared" si="3"/>
        <v>1.4274461028192373</v>
      </c>
      <c r="I20" s="111"/>
      <c r="J20" s="110"/>
      <c r="K20" s="110"/>
    </row>
    <row r="21" spans="1:11" ht="16.5" customHeight="1">
      <c r="A21" s="163" t="s">
        <v>227</v>
      </c>
      <c r="B21" s="164">
        <f>[16]ÓLEOS!$F$18</f>
        <v>2.423</v>
      </c>
      <c r="C21" s="165">
        <f t="shared" si="0"/>
        <v>115.97740762014166</v>
      </c>
      <c r="D21" s="166">
        <f t="shared" si="1"/>
        <v>0.4560530679933672</v>
      </c>
      <c r="E21" s="166">
        <f t="shared" si="4"/>
        <v>10.176427791924336</v>
      </c>
      <c r="F21" s="169">
        <f t="shared" si="5"/>
        <v>18.449354712553756</v>
      </c>
      <c r="G21" s="170"/>
      <c r="H21" s="168">
        <f t="shared" si="3"/>
        <v>1.4209657449442841</v>
      </c>
      <c r="I21" s="111"/>
      <c r="J21" s="110"/>
      <c r="K21" s="110"/>
    </row>
    <row r="22" spans="1:11" ht="16.5" customHeight="1">
      <c r="A22" s="163" t="s">
        <v>228</v>
      </c>
      <c r="B22" s="164">
        <f>[17]ÓLEOS!$F$18</f>
        <v>2.431</v>
      </c>
      <c r="C22" s="165">
        <f t="shared" si="0"/>
        <v>116.36032931265554</v>
      </c>
      <c r="D22" s="166">
        <f t="shared" si="1"/>
        <v>0.33016921172099867</v>
      </c>
      <c r="E22" s="166">
        <f t="shared" si="4"/>
        <v>10.540196435067317</v>
      </c>
      <c r="F22" s="169">
        <f t="shared" si="5"/>
        <v>17.496375060415659</v>
      </c>
      <c r="G22" s="170"/>
      <c r="H22" s="168">
        <f t="shared" si="3"/>
        <v>1.4162895927601811</v>
      </c>
      <c r="I22" s="111"/>
      <c r="J22" s="110"/>
      <c r="K22" s="110"/>
    </row>
    <row r="23" spans="1:11" ht="16.5" customHeight="1">
      <c r="A23" s="163" t="s">
        <v>229</v>
      </c>
      <c r="B23" s="164">
        <f>[18]ÓLEOS!$F$18</f>
        <v>2.4350000000000001</v>
      </c>
      <c r="C23" s="165">
        <f t="shared" si="0"/>
        <v>116.55179015891248</v>
      </c>
      <c r="D23" s="166">
        <f t="shared" si="1"/>
        <v>0.16454134101193674</v>
      </c>
      <c r="E23" s="166">
        <f t="shared" si="4"/>
        <v>10.722080756638785</v>
      </c>
      <c r="F23" s="169">
        <f t="shared" si="5"/>
        <v>17.338087895142664</v>
      </c>
      <c r="G23" s="170"/>
      <c r="H23" s="168">
        <f t="shared" si="3"/>
        <v>1.4139630390143738</v>
      </c>
      <c r="I23" s="110"/>
      <c r="J23" s="110"/>
      <c r="K23" s="110"/>
    </row>
    <row r="24" spans="1:11" ht="16.5" customHeight="1">
      <c r="A24" s="163" t="s">
        <v>230</v>
      </c>
      <c r="B24" s="164">
        <f>[19]ÓLEOS!$F$18</f>
        <v>2.4409999999999998</v>
      </c>
      <c r="C24" s="165">
        <f t="shared" si="0"/>
        <v>116.83898142829788</v>
      </c>
      <c r="D24" s="166">
        <f t="shared" si="1"/>
        <v>0.24640657084187279</v>
      </c>
      <c r="E24" s="166">
        <f t="shared" si="4"/>
        <v>10.99490723899601</v>
      </c>
      <c r="F24" s="169">
        <f t="shared" si="5"/>
        <v>14.118747078073856</v>
      </c>
      <c r="G24" s="170"/>
      <c r="H24" s="168">
        <f t="shared" si="3"/>
        <v>1.4104875051208523</v>
      </c>
      <c r="I24" s="110"/>
      <c r="J24" s="110"/>
      <c r="K24" s="110"/>
    </row>
    <row r="25" spans="1:11" ht="16.5" customHeight="1">
      <c r="A25" s="163" t="s">
        <v>231</v>
      </c>
      <c r="B25" s="164">
        <f>[20]ÓLEOS!$F$18</f>
        <v>2.4329999999999998</v>
      </c>
      <c r="C25" s="165">
        <f t="shared" si="0"/>
        <v>116.456059735784</v>
      </c>
      <c r="D25" s="166">
        <f t="shared" si="1"/>
        <v>-0.32773453502662475</v>
      </c>
      <c r="E25" s="166">
        <f t="shared" si="4"/>
        <v>10.631138595853029</v>
      </c>
      <c r="F25" s="169">
        <f t="shared" si="5"/>
        <v>13.310357675111796</v>
      </c>
      <c r="G25" s="170"/>
      <c r="H25" s="168">
        <f t="shared" si="3"/>
        <v>1.4151253596383069</v>
      </c>
      <c r="I25" s="110"/>
      <c r="J25" s="110"/>
      <c r="K25" s="110"/>
    </row>
    <row r="26" spans="1:11" ht="16.5" customHeight="1">
      <c r="A26" s="163" t="s">
        <v>232</v>
      </c>
      <c r="B26" s="164">
        <f>[21]ÓLEOS!$F$18</f>
        <v>2.4319999999999999</v>
      </c>
      <c r="C26" s="165">
        <f t="shared" si="0"/>
        <v>116.40819452421977</v>
      </c>
      <c r="D26" s="166">
        <f t="shared" si="1"/>
        <v>-4.110152075625928E-2</v>
      </c>
      <c r="E26" s="166">
        <f t="shared" si="4"/>
        <v>10.585667515460173</v>
      </c>
      <c r="F26" s="169">
        <f t="shared" si="5"/>
        <v>13.26378539493296</v>
      </c>
      <c r="G26" s="170"/>
      <c r="H26" s="168">
        <f t="shared" si="3"/>
        <v>1.4157072368421055</v>
      </c>
      <c r="I26" s="110"/>
      <c r="J26" s="110"/>
      <c r="K26" s="110"/>
    </row>
    <row r="27" spans="1:11" ht="16.5" customHeight="1">
      <c r="A27" s="163" t="s">
        <v>233</v>
      </c>
      <c r="B27" s="164">
        <f>[22]ÓLEOS!$F$18</f>
        <v>2.4300000000000002</v>
      </c>
      <c r="C27" s="165">
        <f t="shared" si="0"/>
        <v>116.31246410109132</v>
      </c>
      <c r="D27" s="166">
        <f t="shared" si="1"/>
        <v>-8.2236842105254393E-2</v>
      </c>
      <c r="E27" s="166">
        <f t="shared" si="4"/>
        <v>10.49472535467444</v>
      </c>
      <c r="F27" s="169">
        <f t="shared" si="5"/>
        <v>11.611243799375348</v>
      </c>
      <c r="G27" s="170"/>
      <c r="H27" s="168">
        <f t="shared" si="3"/>
        <v>1.4168724279835392</v>
      </c>
      <c r="I27" s="110"/>
      <c r="J27" s="110"/>
      <c r="K27" s="110"/>
    </row>
    <row r="28" spans="1:11" ht="16.5" customHeight="1">
      <c r="A28" s="163" t="s">
        <v>234</v>
      </c>
      <c r="B28" s="164">
        <f>[23]ÓLEOS!$F$18</f>
        <v>2.4289999999999998</v>
      </c>
      <c r="C28" s="165">
        <f t="shared" si="0"/>
        <v>116.26459888952706</v>
      </c>
      <c r="D28" s="166">
        <f t="shared" si="1"/>
        <v>-4.1152263374499842E-2</v>
      </c>
      <c r="E28" s="166">
        <f t="shared" si="4"/>
        <v>10.449254274281561</v>
      </c>
      <c r="F28" s="169">
        <f t="shared" si="5"/>
        <v>10.559854346836595</v>
      </c>
      <c r="G28" s="170"/>
      <c r="H28" s="168">
        <f t="shared" si="3"/>
        <v>1.4174557431041583</v>
      </c>
      <c r="I28" s="110"/>
      <c r="J28" s="110"/>
      <c r="K28" s="110"/>
    </row>
    <row r="29" spans="1:11" ht="16.5" customHeight="1">
      <c r="A29" s="163" t="s">
        <v>235</v>
      </c>
      <c r="B29" s="164">
        <f>[24]ÓLEOS!$F$18</f>
        <v>2.5790000000000002</v>
      </c>
      <c r="C29" s="165">
        <f t="shared" si="0"/>
        <v>123.44438062416235</v>
      </c>
      <c r="D29" s="166">
        <f t="shared" si="1"/>
        <v>6.1753808151502776</v>
      </c>
      <c r="E29" s="166">
        <f t="shared" si="4"/>
        <v>17.269916333212088</v>
      </c>
      <c r="F29" s="169">
        <f t="shared" si="5"/>
        <v>17.269916333212088</v>
      </c>
      <c r="G29" s="170"/>
      <c r="H29" s="168">
        <f t="shared" si="3"/>
        <v>1.3350135711516093</v>
      </c>
      <c r="I29" s="110"/>
      <c r="J29" s="110"/>
      <c r="K29" s="110"/>
    </row>
    <row r="30" spans="1:11" ht="16.5" customHeight="1">
      <c r="A30" s="163" t="s">
        <v>236</v>
      </c>
      <c r="B30" s="164">
        <f>[25]ÓLEOS!$F$18</f>
        <v>2.59</v>
      </c>
      <c r="C30" s="165">
        <f t="shared" si="0"/>
        <v>123.97089795136893</v>
      </c>
      <c r="D30" s="166">
        <f t="shared" si="1"/>
        <v>0.42652190771614862</v>
      </c>
      <c r="E30" s="166">
        <f t="shared" ref="E30:E41" si="6">100*((B30/$B$29)-1)</f>
        <v>0.42652190771614862</v>
      </c>
      <c r="F30" s="169">
        <f t="shared" si="5"/>
        <v>15.470352206865812</v>
      </c>
      <c r="G30" s="170"/>
      <c r="H30" s="168">
        <f t="shared" si="3"/>
        <v>1.3293436293436296</v>
      </c>
      <c r="I30" s="111"/>
      <c r="J30" s="110"/>
      <c r="K30" s="110"/>
    </row>
    <row r="31" spans="1:11" ht="16.5" customHeight="1">
      <c r="A31" s="163" t="s">
        <v>237</v>
      </c>
      <c r="B31" s="164">
        <f>[26]ÓLEOS!$F$18</f>
        <v>2.593</v>
      </c>
      <c r="C31" s="165">
        <f t="shared" si="0"/>
        <v>124.11449358606163</v>
      </c>
      <c r="D31" s="166">
        <f t="shared" si="1"/>
        <v>0.11583011583011782</v>
      </c>
      <c r="E31" s="166">
        <f t="shared" si="6"/>
        <v>0.54284606436603156</v>
      </c>
      <c r="F31" s="169">
        <f t="shared" si="5"/>
        <v>11.001712328767121</v>
      </c>
      <c r="G31" s="170"/>
      <c r="H31" s="168">
        <f t="shared" si="3"/>
        <v>1.327805630543772</v>
      </c>
      <c r="I31" s="110"/>
      <c r="J31" s="110"/>
      <c r="K31" s="110"/>
    </row>
    <row r="32" spans="1:11" ht="16.5" customHeight="1">
      <c r="A32" s="163" t="s">
        <v>238</v>
      </c>
      <c r="B32" s="164">
        <f>[27]ÓLEOS!$F$18</f>
        <v>2.6</v>
      </c>
      <c r="C32" s="165">
        <f t="shared" si="0"/>
        <v>124.44955006701127</v>
      </c>
      <c r="D32" s="166">
        <f t="shared" si="1"/>
        <v>0.26995757809487042</v>
      </c>
      <c r="E32" s="166">
        <f t="shared" si="6"/>
        <v>0.81426909654904733</v>
      </c>
      <c r="F32" s="169">
        <f t="shared" si="5"/>
        <v>7.7943615257048071</v>
      </c>
      <c r="G32" s="170">
        <f t="shared" ref="G32:G37" si="7">100*(B32/B8-1)</f>
        <v>24.449550067011284</v>
      </c>
      <c r="H32" s="168">
        <f t="shared" si="3"/>
        <v>1.3242307692307693</v>
      </c>
      <c r="I32" s="110"/>
      <c r="J32" s="110"/>
      <c r="K32" s="110"/>
    </row>
    <row r="33" spans="1:11" ht="16.5" customHeight="1">
      <c r="A33" s="163" t="s">
        <v>239</v>
      </c>
      <c r="B33" s="164">
        <f>[28]ÓLEOS!$F$18</f>
        <v>2.6059999999999994</v>
      </c>
      <c r="C33" s="165">
        <f t="shared" si="0"/>
        <v>124.73674133639666</v>
      </c>
      <c r="D33" s="166">
        <f t="shared" si="1"/>
        <v>0.23076923076921219</v>
      </c>
      <c r="E33" s="166">
        <f t="shared" si="6"/>
        <v>1.0469174098487466</v>
      </c>
      <c r="F33" s="169">
        <f t="shared" si="5"/>
        <v>7.5526207181180194</v>
      </c>
      <c r="G33" s="170">
        <f t="shared" si="7"/>
        <v>27.395385217051182</v>
      </c>
      <c r="H33" s="168">
        <f t="shared" si="3"/>
        <v>1.321181887950883</v>
      </c>
      <c r="I33" s="110"/>
      <c r="J33" s="110"/>
      <c r="K33" s="110"/>
    </row>
    <row r="34" spans="1:11" ht="16.5" customHeight="1">
      <c r="A34" s="163" t="s">
        <v>240</v>
      </c>
      <c r="B34" s="164">
        <f>[29]ÓLEOS!$F$18</f>
        <v>2.6080000000000001</v>
      </c>
      <c r="C34" s="165">
        <f t="shared" ref="C34:C40" si="8">100*B34/B$8</f>
        <v>124.83247175952516</v>
      </c>
      <c r="D34" s="166">
        <f t="shared" ref="D34:D39" si="9">100*(B34/B33-1)</f>
        <v>7.6745970836555877E-2</v>
      </c>
      <c r="E34" s="166">
        <f t="shared" si="6"/>
        <v>1.1244668476153574</v>
      </c>
      <c r="F34" s="169">
        <f t="shared" ref="F34:F39" si="10">(100*(B34/B22-1))</f>
        <v>7.2809543397778675</v>
      </c>
      <c r="G34" s="170">
        <f t="shared" si="7"/>
        <v>26.051232479458687</v>
      </c>
      <c r="H34" s="168">
        <f t="shared" si="3"/>
        <v>1.3201687116564418</v>
      </c>
      <c r="I34" s="110"/>
      <c r="J34" s="110"/>
      <c r="K34" s="110"/>
    </row>
    <row r="35" spans="1:11" ht="16.5" customHeight="1">
      <c r="A35" s="163" t="s">
        <v>241</v>
      </c>
      <c r="B35" s="164">
        <f>[30]ÓLEOS!$F$18</f>
        <v>2.61</v>
      </c>
      <c r="C35" s="165">
        <f t="shared" si="8"/>
        <v>124.92820218265362</v>
      </c>
      <c r="D35" s="166">
        <f t="shared" si="9"/>
        <v>7.6687116564411184E-2</v>
      </c>
      <c r="E35" s="166">
        <f t="shared" si="6"/>
        <v>1.2020162853819238</v>
      </c>
      <c r="F35" s="169">
        <f t="shared" si="10"/>
        <v>7.186858316221767</v>
      </c>
      <c r="G35" s="170">
        <f t="shared" si="7"/>
        <v>25.771010023130316</v>
      </c>
      <c r="H35" s="168">
        <f t="shared" si="3"/>
        <v>1.3191570881226056</v>
      </c>
      <c r="I35" s="110"/>
      <c r="J35" s="110"/>
      <c r="K35" s="110"/>
    </row>
    <row r="36" spans="1:11" ht="16.5" customHeight="1">
      <c r="A36" s="163" t="s">
        <v>242</v>
      </c>
      <c r="B36" s="164">
        <f>[31]ÓLEOS!$F$18</f>
        <v>2.61</v>
      </c>
      <c r="C36" s="165">
        <f t="shared" si="8"/>
        <v>124.92820218265362</v>
      </c>
      <c r="D36" s="166">
        <f t="shared" si="9"/>
        <v>0</v>
      </c>
      <c r="E36" s="166">
        <f t="shared" si="6"/>
        <v>1.2020162853819238</v>
      </c>
      <c r="F36" s="169">
        <f t="shared" si="10"/>
        <v>6.923392052437527</v>
      </c>
      <c r="G36" s="170">
        <f t="shared" si="7"/>
        <v>22.019635343618503</v>
      </c>
      <c r="H36" s="168">
        <f t="shared" si="3"/>
        <v>1.3191570881226056</v>
      </c>
      <c r="I36" s="110"/>
      <c r="J36" s="110"/>
      <c r="K36" s="110"/>
    </row>
    <row r="37" spans="1:11" ht="16.5" customHeight="1">
      <c r="A37" s="163" t="s">
        <v>243</v>
      </c>
      <c r="B37" s="164">
        <f>[32]ÓLEOS!$F$18</f>
        <v>2.6380000000000003</v>
      </c>
      <c r="C37" s="165">
        <f t="shared" si="8"/>
        <v>126.26842810645221</v>
      </c>
      <c r="D37" s="166">
        <f t="shared" si="9"/>
        <v>1.0727969348659272</v>
      </c>
      <c r="E37" s="166">
        <f t="shared" si="6"/>
        <v>2.2877084141140092</v>
      </c>
      <c r="F37" s="169">
        <f t="shared" si="10"/>
        <v>8.425811755034962</v>
      </c>
      <c r="G37" s="170">
        <f t="shared" si="7"/>
        <v>22.857675111773524</v>
      </c>
      <c r="H37" s="168">
        <f t="shared" si="3"/>
        <v>1.3051554207733131</v>
      </c>
      <c r="I37" s="110"/>
      <c r="J37" s="110"/>
      <c r="K37" s="110"/>
    </row>
    <row r="38" spans="1:11" ht="16.5" customHeight="1">
      <c r="A38" s="163" t="s">
        <v>244</v>
      </c>
      <c r="B38" s="164">
        <f>[33]ÓLEOS!$F$18</f>
        <v>2.64</v>
      </c>
      <c r="C38" s="165">
        <f t="shared" si="8"/>
        <v>126.36415852958068</v>
      </c>
      <c r="D38" s="166">
        <f t="shared" si="9"/>
        <v>7.5815011372237784E-2</v>
      </c>
      <c r="E38" s="166">
        <f t="shared" si="6"/>
        <v>2.3652578518805756</v>
      </c>
      <c r="F38" s="169">
        <f t="shared" si="10"/>
        <v>8.5526315789473664</v>
      </c>
      <c r="G38" s="170">
        <f t="shared" ref="G38:G43" si="11">100*(B38/B14-1)</f>
        <v>22.950819672131196</v>
      </c>
      <c r="H38" s="168">
        <f t="shared" si="3"/>
        <v>1.3041666666666667</v>
      </c>
      <c r="I38" s="110"/>
      <c r="J38" s="110"/>
      <c r="K38" s="110"/>
    </row>
    <row r="39" spans="1:11" ht="16.5" customHeight="1">
      <c r="A39" s="163" t="s">
        <v>245</v>
      </c>
      <c r="B39" s="164">
        <f>[34]ÓLEOS!$F$18</f>
        <v>2.64</v>
      </c>
      <c r="C39" s="165">
        <f t="shared" si="8"/>
        <v>126.36415852958068</v>
      </c>
      <c r="D39" s="166">
        <f t="shared" si="9"/>
        <v>0</v>
      </c>
      <c r="E39" s="166">
        <f t="shared" si="6"/>
        <v>2.3652578518805756</v>
      </c>
      <c r="F39" s="169">
        <f t="shared" si="10"/>
        <v>8.6419753086419693</v>
      </c>
      <c r="G39" s="170">
        <f t="shared" si="11"/>
        <v>21.256659930185574</v>
      </c>
      <c r="H39" s="168">
        <f t="shared" si="3"/>
        <v>1.3041666666666667</v>
      </c>
      <c r="I39" s="110"/>
      <c r="J39" s="110"/>
      <c r="K39" s="110"/>
    </row>
    <row r="40" spans="1:11" ht="16.5" customHeight="1">
      <c r="A40" s="163" t="s">
        <v>246</v>
      </c>
      <c r="B40" s="164">
        <f>[35]ÓLEOS!$F$18</f>
        <v>2.7510000000000003</v>
      </c>
      <c r="C40" s="165">
        <f t="shared" si="8"/>
        <v>131.67719701321079</v>
      </c>
      <c r="D40" s="166">
        <f t="shared" ref="D40:D45" si="12">100*(B40/B39-1)</f>
        <v>4.2045454545454719</v>
      </c>
      <c r="E40" s="166">
        <f t="shared" si="6"/>
        <v>6.6692516479255559</v>
      </c>
      <c r="F40" s="169">
        <f t="shared" ref="F40:F45" si="13">(100*(B40/B28-1))</f>
        <v>13.25648414985594</v>
      </c>
      <c r="G40" s="170">
        <f t="shared" si="11"/>
        <v>25.216203914428782</v>
      </c>
      <c r="H40" s="168">
        <f t="shared" si="3"/>
        <v>1.2515448927662669</v>
      </c>
      <c r="I40" s="110"/>
      <c r="J40" s="110"/>
      <c r="K40" s="110"/>
    </row>
    <row r="41" spans="1:11" ht="16.5" customHeight="1">
      <c r="A41" s="163" t="s">
        <v>247</v>
      </c>
      <c r="B41" s="164">
        <f>[36]ÓLEOS!$F$18</f>
        <v>2.7570000000000006</v>
      </c>
      <c r="C41" s="165">
        <f t="shared" ref="C41:C47" si="14">100*B41/B$8</f>
        <v>131.96438828259622</v>
      </c>
      <c r="D41" s="166">
        <f t="shared" si="12"/>
        <v>0.21810250817884125</v>
      </c>
      <c r="E41" s="166">
        <f t="shared" si="6"/>
        <v>6.9018999612252996</v>
      </c>
      <c r="F41" s="169">
        <f t="shared" si="13"/>
        <v>6.9018999612252996</v>
      </c>
      <c r="G41" s="170">
        <f t="shared" si="11"/>
        <v>25.363768643143004</v>
      </c>
      <c r="H41" s="168">
        <f t="shared" si="3"/>
        <v>1.2488211824446862</v>
      </c>
      <c r="I41" s="110"/>
      <c r="J41" s="110"/>
      <c r="K41" s="110"/>
    </row>
    <row r="42" spans="1:11" ht="16.5" customHeight="1">
      <c r="A42" s="163" t="s">
        <v>248</v>
      </c>
      <c r="B42" s="164">
        <f>[37]ÓLEOS!$F$18</f>
        <v>2.7669999999999999</v>
      </c>
      <c r="C42" s="165">
        <f t="shared" si="14"/>
        <v>132.44304039823854</v>
      </c>
      <c r="D42" s="166">
        <f t="shared" si="12"/>
        <v>0.36271309394266815</v>
      </c>
      <c r="E42" s="166">
        <f t="shared" ref="E42:E47" si="15">100*((B42/$B$41)-1)</f>
        <v>0.36271309394266815</v>
      </c>
      <c r="F42" s="169">
        <f t="shared" si="13"/>
        <v>6.8339768339768403</v>
      </c>
      <c r="G42" s="170">
        <f t="shared" si="11"/>
        <v>23.361569326794474</v>
      </c>
      <c r="H42" s="168">
        <f t="shared" si="3"/>
        <v>1.2443079147090714</v>
      </c>
      <c r="I42" s="110"/>
      <c r="J42" s="110"/>
      <c r="K42" s="110"/>
    </row>
    <row r="43" spans="1:11" ht="16.5" customHeight="1">
      <c r="A43" s="163" t="s">
        <v>249</v>
      </c>
      <c r="B43" s="164">
        <f>[38]ÓLEOS!$F$18</f>
        <v>2.9550000000000005</v>
      </c>
      <c r="C43" s="165">
        <f t="shared" si="14"/>
        <v>141.44170017231477</v>
      </c>
      <c r="D43" s="166">
        <f t="shared" si="12"/>
        <v>6.7943621250452058</v>
      </c>
      <c r="E43" s="166">
        <f t="shared" si="15"/>
        <v>7.1817192600652779</v>
      </c>
      <c r="F43" s="169">
        <f t="shared" si="13"/>
        <v>13.960663324334766</v>
      </c>
      <c r="G43" s="170">
        <f t="shared" si="11"/>
        <v>26.498287671232902</v>
      </c>
      <c r="H43" s="168">
        <f t="shared" si="3"/>
        <v>1.1651438240270726</v>
      </c>
      <c r="I43" s="110"/>
      <c r="J43" s="110"/>
      <c r="K43" s="110"/>
    </row>
    <row r="44" spans="1:11" ht="16.5" customHeight="1">
      <c r="A44" s="163" t="s">
        <v>250</v>
      </c>
      <c r="B44" s="164">
        <f>[39]ÓLEOS!$F$18</f>
        <v>2.9570000000000003</v>
      </c>
      <c r="C44" s="165">
        <f t="shared" si="14"/>
        <v>141.53743059544323</v>
      </c>
      <c r="D44" s="166">
        <f t="shared" si="12"/>
        <v>6.7681895093052447E-2</v>
      </c>
      <c r="E44" s="166">
        <f t="shared" si="15"/>
        <v>7.2542618788538071</v>
      </c>
      <c r="F44" s="169">
        <f t="shared" si="13"/>
        <v>13.730769230769235</v>
      </c>
      <c r="G44" s="170">
        <f t="shared" ref="G44:G49" si="16">100*(B44/B20-1)</f>
        <v>22.595356550580448</v>
      </c>
      <c r="H44" s="168">
        <f t="shared" si="3"/>
        <v>1.1643557659790329</v>
      </c>
      <c r="I44" s="110"/>
      <c r="J44" s="110"/>
      <c r="K44" s="110"/>
    </row>
    <row r="45" spans="1:11" ht="16.5" customHeight="1">
      <c r="A45" s="163" t="s">
        <v>252</v>
      </c>
      <c r="B45" s="164">
        <f>[40]ÓLEOS!$F$18</f>
        <v>2.9580000000000006</v>
      </c>
      <c r="C45" s="165">
        <f t="shared" si="14"/>
        <v>141.58529580700747</v>
      </c>
      <c r="D45" s="166">
        <f t="shared" si="12"/>
        <v>3.3818058843437804E-2</v>
      </c>
      <c r="E45" s="166">
        <f t="shared" si="15"/>
        <v>7.290533188248105</v>
      </c>
      <c r="F45" s="169">
        <f t="shared" si="13"/>
        <v>13.507290867229527</v>
      </c>
      <c r="G45" s="170">
        <f t="shared" si="16"/>
        <v>22.08006603384236</v>
      </c>
      <c r="H45" s="168">
        <f t="shared" si="3"/>
        <v>1.1639621365787693</v>
      </c>
      <c r="I45" s="110"/>
      <c r="J45" s="110"/>
      <c r="K45" s="110"/>
    </row>
    <row r="46" spans="1:11" ht="16.5" customHeight="1">
      <c r="A46" s="163" t="s">
        <v>253</v>
      </c>
      <c r="B46" s="164">
        <f>[41]ÓLEOS!$F$18</f>
        <v>2.956</v>
      </c>
      <c r="C46" s="165">
        <f t="shared" si="14"/>
        <v>141.48956538387898</v>
      </c>
      <c r="D46" s="166">
        <f t="shared" ref="D46:D51" si="17">100*(B46/B45-1)</f>
        <v>-6.7613252197451512E-2</v>
      </c>
      <c r="E46" s="166">
        <f t="shared" si="15"/>
        <v>7.2179905694595314</v>
      </c>
      <c r="F46" s="169">
        <f t="shared" ref="F46:F51" si="18">(100*(B46/B34-1))</f>
        <v>13.343558282208591</v>
      </c>
      <c r="G46" s="170">
        <f t="shared" si="16"/>
        <v>21.596051007815721</v>
      </c>
      <c r="H46" s="168">
        <f t="shared" si="3"/>
        <v>1.164749661705007</v>
      </c>
      <c r="I46" s="110"/>
      <c r="J46" s="110"/>
      <c r="K46" s="110"/>
    </row>
    <row r="47" spans="1:11" ht="16.5" customHeight="1">
      <c r="A47" s="163" t="s">
        <v>254</v>
      </c>
      <c r="B47" s="164">
        <f>[42]ÓLEOS!$F$18</f>
        <v>2.9570000000000003</v>
      </c>
      <c r="C47" s="165">
        <f t="shared" si="14"/>
        <v>141.53743059544323</v>
      </c>
      <c r="D47" s="166">
        <f t="shared" si="17"/>
        <v>3.3829499323423384E-2</v>
      </c>
      <c r="E47" s="166">
        <f t="shared" si="15"/>
        <v>7.2542618788538071</v>
      </c>
      <c r="F47" s="169">
        <f t="shared" si="18"/>
        <v>13.29501915708815</v>
      </c>
      <c r="G47" s="170">
        <f t="shared" si="16"/>
        <v>21.437371663244353</v>
      </c>
      <c r="H47" s="168">
        <f t="shared" si="3"/>
        <v>1.1643557659790329</v>
      </c>
      <c r="I47" s="110"/>
      <c r="J47" s="110"/>
      <c r="K47" s="110"/>
    </row>
    <row r="48" spans="1:11" ht="16.5" customHeight="1">
      <c r="A48" s="163" t="s">
        <v>255</v>
      </c>
      <c r="B48" s="164">
        <f>[43]ÓLEOS!$F$18</f>
        <v>2.9520000000000004</v>
      </c>
      <c r="C48" s="165">
        <f t="shared" ref="C48:C54" si="19">100*B48/B$8</f>
        <v>141.29810453762204</v>
      </c>
      <c r="D48" s="166">
        <f t="shared" si="17"/>
        <v>-0.1690902942171113</v>
      </c>
      <c r="E48" s="166">
        <f t="shared" ref="E48:E53" si="20">100*((B48/$B$41)-1)</f>
        <v>7.0729053318824731</v>
      </c>
      <c r="F48" s="169">
        <f t="shared" si="18"/>
        <v>13.103448275862096</v>
      </c>
      <c r="G48" s="170">
        <f t="shared" si="16"/>
        <v>20.934043424825923</v>
      </c>
      <c r="H48" s="168">
        <f t="shared" si="3"/>
        <v>1.1663279132791329</v>
      </c>
      <c r="I48" s="110"/>
      <c r="J48" s="110"/>
      <c r="K48" s="110"/>
    </row>
    <row r="49" spans="1:11" ht="16.5" customHeight="1">
      <c r="A49" s="163" t="str">
        <f>Diesel_500!A150</f>
        <v>AGOSTO|15</v>
      </c>
      <c r="B49" s="164">
        <f>[44]ÓLEOS!$F$18</f>
        <v>2.9510000000000001</v>
      </c>
      <c r="C49" s="165">
        <f t="shared" si="19"/>
        <v>141.25023932605779</v>
      </c>
      <c r="D49" s="166">
        <f t="shared" si="17"/>
        <v>-3.3875338753397433E-2</v>
      </c>
      <c r="E49" s="166">
        <f t="shared" si="20"/>
        <v>7.0366340224881974</v>
      </c>
      <c r="F49" s="169">
        <f t="shared" si="18"/>
        <v>11.865049279757379</v>
      </c>
      <c r="G49" s="170">
        <f t="shared" si="16"/>
        <v>21.290587751746838</v>
      </c>
      <c r="H49" s="168">
        <f t="shared" si="3"/>
        <v>1.1667231446967132</v>
      </c>
      <c r="I49" s="110"/>
      <c r="J49" s="110"/>
      <c r="K49" s="110"/>
    </row>
    <row r="50" spans="1:11" ht="16.5" customHeight="1">
      <c r="A50" s="163" t="str">
        <f>Diesel_500!A151</f>
        <v>SETEMBRO|15</v>
      </c>
      <c r="B50" s="164">
        <f>[45]ÓLEOS!$F$18</f>
        <v>2.9600000000000004</v>
      </c>
      <c r="C50" s="165">
        <f t="shared" si="19"/>
        <v>141.68102623013593</v>
      </c>
      <c r="D50" s="166">
        <f t="shared" si="17"/>
        <v>0.30498136225010075</v>
      </c>
      <c r="E50" s="166">
        <f t="shared" si="20"/>
        <v>7.3630758070366342</v>
      </c>
      <c r="F50" s="169">
        <f t="shared" si="18"/>
        <v>12.121212121212132</v>
      </c>
      <c r="G50" s="170">
        <f t="shared" ref="G50:G55" si="21">100*(B50/B26-1)</f>
        <v>21.71052631578949</v>
      </c>
      <c r="H50" s="168">
        <f t="shared" si="3"/>
        <v>1.1631756756756757</v>
      </c>
      <c r="I50" s="110"/>
      <c r="J50" s="110"/>
      <c r="K50" s="110"/>
    </row>
    <row r="51" spans="1:11" ht="16.5" customHeight="1">
      <c r="A51" s="163" t="str">
        <f>Diesel_500!A152</f>
        <v>OUTUBRO|15</v>
      </c>
      <c r="B51" s="164">
        <f>[46]ÓLEOS!$F$18</f>
        <v>3.0830000000000006</v>
      </c>
      <c r="C51" s="165">
        <f t="shared" si="19"/>
        <v>147.56844725253686</v>
      </c>
      <c r="D51" s="166">
        <f t="shared" si="17"/>
        <v>4.1554054054054212</v>
      </c>
      <c r="E51" s="166">
        <f t="shared" si="20"/>
        <v>11.824446862531746</v>
      </c>
      <c r="F51" s="169">
        <f t="shared" si="18"/>
        <v>16.780303030303045</v>
      </c>
      <c r="G51" s="170">
        <f t="shared" si="21"/>
        <v>26.872427983539104</v>
      </c>
      <c r="H51" s="168">
        <f t="shared" si="3"/>
        <v>1.1167693804735646</v>
      </c>
      <c r="I51" s="110"/>
      <c r="J51" s="110"/>
      <c r="K51" s="110"/>
    </row>
    <row r="52" spans="1:11" ht="16.5" customHeight="1">
      <c r="A52" s="163" t="str">
        <f>Diesel_500!A153</f>
        <v>NOVEMBRO|15</v>
      </c>
      <c r="B52" s="164">
        <f>[47]ÓLEOS!$F$18</f>
        <v>3.1230000000000007</v>
      </c>
      <c r="C52" s="165">
        <f t="shared" si="19"/>
        <v>149.48305571510627</v>
      </c>
      <c r="D52" s="166">
        <f t="shared" ref="D52:D57" si="22">100*(B52/B51-1)</f>
        <v>1.2974375608173938</v>
      </c>
      <c r="E52" s="166">
        <f t="shared" si="20"/>
        <v>13.275299238302507</v>
      </c>
      <c r="F52" s="169">
        <f t="shared" ref="F52:F57" si="23">(100*(B52/B40-1))</f>
        <v>13.522355507088335</v>
      </c>
      <c r="G52" s="170">
        <f t="shared" si="21"/>
        <v>28.571428571428605</v>
      </c>
      <c r="H52" s="168">
        <f t="shared" si="3"/>
        <v>1.1024655779699006</v>
      </c>
      <c r="I52" s="110"/>
      <c r="J52" s="110"/>
      <c r="K52" s="110"/>
    </row>
    <row r="53" spans="1:11" ht="16.5" customHeight="1">
      <c r="A53" s="163" t="str">
        <f>Diesel_500!A154</f>
        <v>DEZEMBRO|15</v>
      </c>
      <c r="B53" s="164">
        <f>[48]ÓLEOS!$F$18</f>
        <v>3.1290000000000004</v>
      </c>
      <c r="C53" s="165">
        <f t="shared" si="19"/>
        <v>149.77024698449165</v>
      </c>
      <c r="D53" s="166">
        <f t="shared" si="22"/>
        <v>0.19212295869355245</v>
      </c>
      <c r="E53" s="166">
        <f t="shared" si="20"/>
        <v>13.492927094668117</v>
      </c>
      <c r="F53" s="169">
        <f t="shared" si="23"/>
        <v>13.492927094668117</v>
      </c>
      <c r="G53" s="170">
        <f t="shared" si="21"/>
        <v>21.326095385808451</v>
      </c>
      <c r="H53" s="168">
        <f t="shared" si="3"/>
        <v>1.1003515500159795</v>
      </c>
      <c r="I53" s="110"/>
      <c r="J53" s="110"/>
      <c r="K53" s="110"/>
    </row>
    <row r="54" spans="1:11" ht="16.5" customHeight="1">
      <c r="A54" s="163" t="str">
        <f>Diesel_500!A155</f>
        <v>JANEIRO|16</v>
      </c>
      <c r="B54" s="164">
        <f>[49]ÓLEOS!$F$18</f>
        <v>3.1559999999999997</v>
      </c>
      <c r="C54" s="165">
        <f t="shared" si="19"/>
        <v>151.06260769672596</v>
      </c>
      <c r="D54" s="166">
        <f t="shared" si="22"/>
        <v>0.86289549376794561</v>
      </c>
      <c r="E54" s="166">
        <f t="shared" ref="E54:E59" si="24">100*((B54/$B$53)-1)</f>
        <v>0.86289549376794561</v>
      </c>
      <c r="F54" s="169">
        <f t="shared" si="23"/>
        <v>14.058547162992397</v>
      </c>
      <c r="G54" s="170">
        <f t="shared" si="21"/>
        <v>21.853281853281857</v>
      </c>
      <c r="H54" s="168">
        <f t="shared" si="3"/>
        <v>1.0909378960709761</v>
      </c>
      <c r="I54" s="110"/>
      <c r="J54" s="110"/>
      <c r="K54" s="110"/>
    </row>
    <row r="55" spans="1:11" ht="16.5" customHeight="1">
      <c r="A55" s="163" t="str">
        <f>Diesel_500!A156</f>
        <v>FEVEREIRO|16</v>
      </c>
      <c r="B55" s="164">
        <f>[50]ÓLEOS!$F$18</f>
        <v>3.16</v>
      </c>
      <c r="C55" s="165">
        <f t="shared" ref="C55:C60" si="25">100*B55/B$8</f>
        <v>151.25406854298294</v>
      </c>
      <c r="D55" s="166">
        <f t="shared" si="22"/>
        <v>0.12674271229404788</v>
      </c>
      <c r="E55" s="166">
        <f t="shared" si="24"/>
        <v>0.99073186321507745</v>
      </c>
      <c r="F55" s="169">
        <f t="shared" si="23"/>
        <v>6.9373942470388972</v>
      </c>
      <c r="G55" s="170">
        <f t="shared" si="21"/>
        <v>21.866563825684548</v>
      </c>
      <c r="H55" s="168">
        <f t="shared" si="3"/>
        <v>1.0895569620253165</v>
      </c>
      <c r="I55" s="110"/>
      <c r="J55" s="110"/>
      <c r="K55" s="110"/>
    </row>
    <row r="56" spans="1:11" ht="16.5" customHeight="1">
      <c r="A56" s="163" t="str">
        <f>Diesel_500!A157</f>
        <v>MARÇO|16</v>
      </c>
      <c r="B56" s="164">
        <f>[51]ÓLEOS!$F$18</f>
        <v>3.1629999999999998</v>
      </c>
      <c r="C56" s="165">
        <f t="shared" si="25"/>
        <v>151.39766417767561</v>
      </c>
      <c r="D56" s="166">
        <f t="shared" si="22"/>
        <v>9.493670886076E-2</v>
      </c>
      <c r="E56" s="166">
        <f t="shared" si="24"/>
        <v>1.0866091403003875</v>
      </c>
      <c r="F56" s="169">
        <f t="shared" si="23"/>
        <v>6.9665201217449901</v>
      </c>
      <c r="G56" s="170">
        <f t="shared" ref="G56:G61" si="26">100*(B56/B32-1)</f>
        <v>21.653846153846136</v>
      </c>
      <c r="H56" s="168">
        <f t="shared" si="3"/>
        <v>1.0885235535883657</v>
      </c>
      <c r="I56" s="110"/>
      <c r="J56" s="110"/>
      <c r="K56" s="110"/>
    </row>
    <row r="57" spans="1:11" ht="16.5" customHeight="1">
      <c r="A57" s="163" t="str">
        <f>Diesel_500!A158</f>
        <v>ABRIL|16</v>
      </c>
      <c r="B57" s="164">
        <f>[52]ÓLEOS!$F$18</f>
        <v>3.1640000000000006</v>
      </c>
      <c r="C57" s="165">
        <f t="shared" si="25"/>
        <v>151.44552938923988</v>
      </c>
      <c r="D57" s="166">
        <f t="shared" si="22"/>
        <v>3.1615554853003935E-2</v>
      </c>
      <c r="E57" s="166">
        <f t="shared" si="24"/>
        <v>1.1185682326621871</v>
      </c>
      <c r="F57" s="169">
        <f t="shared" si="23"/>
        <v>6.964164976335363</v>
      </c>
      <c r="G57" s="170">
        <f t="shared" si="26"/>
        <v>21.412125863392227</v>
      </c>
      <c r="H57" s="168">
        <f t="shared" si="3"/>
        <v>1.0881795195954487</v>
      </c>
      <c r="I57" s="110"/>
      <c r="J57" s="110"/>
      <c r="K57" s="110"/>
    </row>
    <row r="58" spans="1:11" ht="16.5" customHeight="1">
      <c r="A58" s="163" t="str">
        <f>Diesel_500!A159</f>
        <v>MAIO|16</v>
      </c>
      <c r="B58" s="164">
        <f>[53]ÓLEOS!$F$18</f>
        <v>3.1580000000000004</v>
      </c>
      <c r="C58" s="165">
        <f t="shared" si="25"/>
        <v>151.15833811985448</v>
      </c>
      <c r="D58" s="166">
        <f t="shared" ref="D58:D63" si="27">100*(B58/B57-1)</f>
        <v>-0.18963337547408532</v>
      </c>
      <c r="E58" s="166">
        <f t="shared" si="24"/>
        <v>0.92681367849152263</v>
      </c>
      <c r="F58" s="169">
        <f t="shared" ref="F58:F63" si="28">(100*(B58/B46-1))</f>
        <v>6.8335588633288369</v>
      </c>
      <c r="G58" s="170">
        <f t="shared" si="26"/>
        <v>21.088957055214742</v>
      </c>
      <c r="H58" s="168">
        <f t="shared" si="3"/>
        <v>1.0902469917669411</v>
      </c>
      <c r="I58" s="110"/>
      <c r="J58" s="110"/>
      <c r="K58" s="110"/>
    </row>
    <row r="59" spans="1:11" ht="16.5" customHeight="1">
      <c r="A59" s="163" t="str">
        <f>Diesel_500!A160</f>
        <v>JUNHO|16</v>
      </c>
      <c r="B59" s="164">
        <f>[54]ÓLEOS!$F$18</f>
        <v>3.1589999999999994</v>
      </c>
      <c r="C59" s="165">
        <f t="shared" si="25"/>
        <v>151.20620333141866</v>
      </c>
      <c r="D59" s="166">
        <f t="shared" si="27"/>
        <v>3.1665611146269868E-2</v>
      </c>
      <c r="E59" s="166">
        <f t="shared" si="24"/>
        <v>0.95877277085327783</v>
      </c>
      <c r="F59" s="169">
        <f t="shared" si="28"/>
        <v>6.8312478863712833</v>
      </c>
      <c r="G59" s="170">
        <f t="shared" si="26"/>
        <v>21.034482758620676</v>
      </c>
      <c r="H59" s="168">
        <f t="shared" si="3"/>
        <v>1.0899018676796459</v>
      </c>
      <c r="I59" s="110"/>
      <c r="J59" s="110"/>
      <c r="K59" s="110"/>
    </row>
    <row r="60" spans="1:11" ht="16.5" customHeight="1">
      <c r="A60" s="163" t="str">
        <f>Diesel_500!A161</f>
        <v>JULHO|16</v>
      </c>
      <c r="B60" s="164">
        <f>[55]ÓLEOS!$F$18</f>
        <v>3.1520000000000006</v>
      </c>
      <c r="C60" s="165">
        <f t="shared" si="25"/>
        <v>150.87114685046907</v>
      </c>
      <c r="D60" s="166">
        <f t="shared" si="27"/>
        <v>-0.22158911047795993</v>
      </c>
      <c r="E60" s="166">
        <f t="shared" ref="E60" si="29">100*((B60/$B$53)-1)</f>
        <v>0.73505912432088039</v>
      </c>
      <c r="F60" s="169">
        <f t="shared" si="28"/>
        <v>6.7750677506775103</v>
      </c>
      <c r="G60" s="170">
        <f t="shared" si="26"/>
        <v>20.766283524904239</v>
      </c>
      <c r="H60" s="168">
        <f t="shared" si="3"/>
        <v>1.0923223350253806</v>
      </c>
      <c r="I60" s="110"/>
      <c r="J60" s="110"/>
      <c r="K60" s="110"/>
    </row>
    <row r="61" spans="1:11" ht="16.5" customHeight="1">
      <c r="A61" s="163" t="str">
        <f>Diesel_500!A162</f>
        <v>AGOSTO|16</v>
      </c>
      <c r="B61" s="164">
        <f>[56]ÓLEOS!$F$18</f>
        <v>3.1499999999999995</v>
      </c>
      <c r="C61" s="165">
        <f t="shared" ref="C61" si="30">100*B61/B$8</f>
        <v>150.77541642734056</v>
      </c>
      <c r="D61" s="166">
        <f t="shared" si="27"/>
        <v>-6.3451776649781078E-2</v>
      </c>
      <c r="E61" s="166">
        <f t="shared" ref="E61" si="31">100*((B61/$B$53)-1)</f>
        <v>0.67114093959728116</v>
      </c>
      <c r="F61" s="169">
        <f t="shared" si="28"/>
        <v>6.7434767875296231</v>
      </c>
      <c r="G61" s="170">
        <f t="shared" si="26"/>
        <v>19.408642911296404</v>
      </c>
      <c r="H61" s="168">
        <f t="shared" si="3"/>
        <v>1.0930158730158734</v>
      </c>
      <c r="I61" s="110"/>
      <c r="J61" s="110"/>
      <c r="K61" s="110"/>
    </row>
    <row r="62" spans="1:11" ht="16.5" customHeight="1">
      <c r="A62" s="163" t="str">
        <f>Diesel_500!A163</f>
        <v>SETEMBRO|16</v>
      </c>
      <c r="B62" s="164">
        <f>[57]ÓLEOS!$F$18</f>
        <v>3.1490000000000005</v>
      </c>
      <c r="C62" s="165">
        <f t="shared" ref="C62" si="32">100*B62/B$8</f>
        <v>150.72755121577637</v>
      </c>
      <c r="D62" s="166">
        <f t="shared" si="27"/>
        <v>-3.1746031746004988E-2</v>
      </c>
      <c r="E62" s="166">
        <f t="shared" ref="E62" si="33">100*((B62/$B$53)-1)</f>
        <v>0.63918184723554816</v>
      </c>
      <c r="F62" s="169">
        <f t="shared" si="28"/>
        <v>6.3851351351351449</v>
      </c>
      <c r="G62" s="170">
        <f t="shared" ref="G62" si="34">100*(B62/B38-1)</f>
        <v>19.280303030303038</v>
      </c>
      <c r="H62" s="168">
        <f t="shared" si="3"/>
        <v>1.0933629723721816</v>
      </c>
      <c r="I62" s="110"/>
      <c r="J62" s="110"/>
      <c r="K62" s="110"/>
    </row>
    <row r="63" spans="1:11" ht="16.5" customHeight="1">
      <c r="A63" s="163" t="str">
        <f>Diesel_500!A164</f>
        <v>OUTUBRO|16</v>
      </c>
      <c r="B63" s="164">
        <f>[58]ÓLEOS!$F$18</f>
        <v>3.1469999999999994</v>
      </c>
      <c r="C63" s="165">
        <f t="shared" ref="C63" si="35">100*B63/B$8</f>
        <v>150.63182079264783</v>
      </c>
      <c r="D63" s="166">
        <f t="shared" si="27"/>
        <v>-6.3512226103557001E-2</v>
      </c>
      <c r="E63" s="166">
        <f t="shared" ref="E63" si="36">100*((B63/$B$53)-1)</f>
        <v>0.57526366251194894</v>
      </c>
      <c r="F63" s="169">
        <f t="shared" si="28"/>
        <v>2.0759000973077812</v>
      </c>
      <c r="G63" s="170">
        <f t="shared" ref="G63" si="37">100*(B63/B39-1)</f>
        <v>19.204545454545418</v>
      </c>
      <c r="H63" s="168">
        <f t="shared" si="3"/>
        <v>1.0940578328566892</v>
      </c>
      <c r="I63" s="110"/>
      <c r="J63" s="110"/>
      <c r="K63" s="110"/>
    </row>
    <row r="64" spans="1:11" ht="16.5" customHeight="1">
      <c r="A64" s="163" t="str">
        <f>Diesel_500!A165</f>
        <v>NOVEMBRO|16</v>
      </c>
      <c r="B64" s="164">
        <f>[59]ÓLEOS!$F$18</f>
        <v>3.1280000000000001</v>
      </c>
      <c r="C64" s="165">
        <f t="shared" ref="C64" si="38">100*B64/B$8</f>
        <v>149.72238177292741</v>
      </c>
      <c r="D64" s="166">
        <f t="shared" ref="D64" si="39">100*(B64/B63-1)</f>
        <v>-0.60374960279628853</v>
      </c>
      <c r="E64" s="166">
        <f t="shared" ref="E64" si="40">100*((B64/$B$53)-1)</f>
        <v>-3.195909236178851E-2</v>
      </c>
      <c r="F64" s="169">
        <f t="shared" ref="F64" si="41">(100*(B64/B52-1))</f>
        <v>0.16010246557796037</v>
      </c>
      <c r="G64" s="170">
        <f t="shared" ref="G64" si="42">100*(B64/B40-1)</f>
        <v>13.704107597237369</v>
      </c>
      <c r="H64" s="168">
        <f t="shared" si="3"/>
        <v>1.1007033248081843</v>
      </c>
      <c r="I64" s="110"/>
      <c r="J64" s="110"/>
      <c r="K64" s="110"/>
    </row>
    <row r="65" spans="1:11" ht="16.5" customHeight="1">
      <c r="A65" s="163" t="str">
        <f>Diesel_500!A166</f>
        <v>DEZEMBRO|16</v>
      </c>
      <c r="B65" s="164">
        <f>[60]ÓLEOS!$F$18</f>
        <v>3.1900000000000004</v>
      </c>
      <c r="C65" s="165">
        <f t="shared" ref="C65" si="43">100*B65/B$8</f>
        <v>152.69002488991001</v>
      </c>
      <c r="D65" s="166">
        <f t="shared" ref="D65" si="44">100*(B65/B64-1)</f>
        <v>1.9820971867007708</v>
      </c>
      <c r="E65" s="166">
        <f t="shared" ref="E65" si="45">100*((B65/$B$53)-1)</f>
        <v>1.9495046340683997</v>
      </c>
      <c r="F65" s="169">
        <f t="shared" ref="F65" si="46">(100*(B65/B53-1))</f>
        <v>1.9495046340683997</v>
      </c>
      <c r="G65" s="170">
        <f t="shared" ref="G65" si="47">100*(B65/B41-1)</f>
        <v>15.705476967718536</v>
      </c>
      <c r="H65" s="168">
        <f t="shared" si="3"/>
        <v>1.0793103448275863</v>
      </c>
      <c r="I65" s="110"/>
      <c r="J65" s="110"/>
      <c r="K65" s="110"/>
    </row>
    <row r="66" spans="1:11" ht="16.5" customHeight="1">
      <c r="A66" s="163" t="str">
        <f>Diesel_500!A167</f>
        <v>JANEIRO|17</v>
      </c>
      <c r="B66" s="164">
        <f>[61]ÓLEOS!$F$18</f>
        <v>3.262</v>
      </c>
      <c r="C66" s="165">
        <f t="shared" ref="C66" si="48">100*B66/B$8</f>
        <v>156.1363201225349</v>
      </c>
      <c r="D66" s="166">
        <f t="shared" ref="D66" si="49">100*(B66/B65-1)</f>
        <v>2.2570532915360486</v>
      </c>
      <c r="E66" s="166">
        <f t="shared" ref="E66:E71" si="50">100*((B66/$B$65)-1)</f>
        <v>2.2570532915360486</v>
      </c>
      <c r="F66" s="169">
        <f t="shared" ref="F66" si="51">(100*(B66/B54-1))</f>
        <v>3.3586818757921577</v>
      </c>
      <c r="G66" s="170">
        <f t="shared" ref="G66" si="52">100*(B66/B42-1)</f>
        <v>17.889410914347682</v>
      </c>
      <c r="H66" s="168">
        <f t="shared" si="3"/>
        <v>1.055487431023912</v>
      </c>
      <c r="I66" s="110"/>
      <c r="J66" s="110"/>
      <c r="K66" s="110"/>
    </row>
    <row r="67" spans="1:11" ht="16.5" customHeight="1">
      <c r="A67" s="163" t="str">
        <f>Diesel_500!A168</f>
        <v>FEVEREIRO|17</v>
      </c>
      <c r="B67" s="164">
        <f>[62]ÓLEOS!$F$18</f>
        <v>3.238</v>
      </c>
      <c r="C67" s="165">
        <f t="shared" ref="C67" si="53">100*B67/B$8</f>
        <v>154.98755504499329</v>
      </c>
      <c r="D67" s="166">
        <f t="shared" ref="D67" si="54">100*(B67/B66-1)</f>
        <v>-0.73574494175352445</v>
      </c>
      <c r="E67" s="166">
        <f t="shared" si="50"/>
        <v>1.5047021943573435</v>
      </c>
      <c r="F67" s="169">
        <f t="shared" ref="F67" si="55">(100*(B67/B55-1))</f>
        <v>2.4683544303797378</v>
      </c>
      <c r="G67" s="170">
        <f t="shared" ref="G67" si="56">100*(B67/B43-1)</f>
        <v>9.5769881556683423</v>
      </c>
      <c r="H67" s="168">
        <f t="shared" si="3"/>
        <v>1.0633106856084005</v>
      </c>
      <c r="I67" s="110"/>
      <c r="J67" s="110"/>
      <c r="K67" s="110"/>
    </row>
    <row r="68" spans="1:11" ht="16.5" customHeight="1">
      <c r="A68" s="163" t="str">
        <f>Diesel_500!A169</f>
        <v>MARÇO|17</v>
      </c>
      <c r="B68" s="164">
        <f>[63]ÓLEOS!$F$18</f>
        <v>3.1750000000000003</v>
      </c>
      <c r="C68" s="165">
        <f t="shared" ref="C68" si="57">100*B68/B$8</f>
        <v>151.97204671644647</v>
      </c>
      <c r="D68" s="166">
        <f t="shared" ref="D68" si="58">100*(B68/B67-1)</f>
        <v>-1.9456454601605833</v>
      </c>
      <c r="E68" s="166">
        <f t="shared" si="50"/>
        <v>-0.47021943573668512</v>
      </c>
      <c r="F68" s="169">
        <f t="shared" ref="F68" si="59">(100*(B68/B56-1))</f>
        <v>0.37938665823586959</v>
      </c>
      <c r="G68" s="170">
        <f t="shared" ref="G68" si="60">100*(B68/B44-1)</f>
        <v>7.3723368278660883</v>
      </c>
      <c r="H68" s="168">
        <f t="shared" si="3"/>
        <v>1.0844094488188978</v>
      </c>
      <c r="I68" s="110"/>
      <c r="J68" s="110"/>
      <c r="K68" s="110"/>
    </row>
    <row r="69" spans="1:11" ht="16.5" customHeight="1">
      <c r="A69" s="163" t="str">
        <f>Diesel_500!A170</f>
        <v>ABRIL|17</v>
      </c>
      <c r="B69" s="164">
        <f>[64]ÓLEOS!$F$18</f>
        <v>3.1539999999999999</v>
      </c>
      <c r="C69" s="165">
        <f t="shared" ref="C69" si="61">100*B69/B$8</f>
        <v>150.9668772735975</v>
      </c>
      <c r="D69" s="166">
        <f t="shared" ref="D69" si="62">100*(B69/B68-1)</f>
        <v>-0.66141732283465648</v>
      </c>
      <c r="E69" s="166">
        <f t="shared" si="50"/>
        <v>-1.1285266457680354</v>
      </c>
      <c r="F69" s="169">
        <f t="shared" ref="F69" si="63">(100*(B69/B57-1))</f>
        <v>-0.316055625790157</v>
      </c>
      <c r="G69" s="170">
        <f t="shared" ref="G69" si="64">100*(B69/B45-1)</f>
        <v>6.6260987153481832</v>
      </c>
      <c r="H69" s="168">
        <f t="shared" si="3"/>
        <v>1.0916296766011415</v>
      </c>
      <c r="I69" s="110"/>
      <c r="J69" s="110"/>
      <c r="K69" s="110"/>
    </row>
    <row r="70" spans="1:11" ht="16.5" customHeight="1">
      <c r="A70" s="163" t="str">
        <f>Diesel_500!A171</f>
        <v>MAIO|17</v>
      </c>
      <c r="B70" s="164">
        <f>[65]ÓLEOS!$F$18</f>
        <v>3.1520000000000006</v>
      </c>
      <c r="C70" s="165">
        <f t="shared" ref="C70" si="65">100*B70/B$8</f>
        <v>150.87114685046907</v>
      </c>
      <c r="D70" s="166">
        <f t="shared" ref="D70" si="66">100*(B70/B69-1)</f>
        <v>-6.3411540900426555E-2</v>
      </c>
      <c r="E70" s="166">
        <f t="shared" si="50"/>
        <v>-1.1912225705329127</v>
      </c>
      <c r="F70" s="169">
        <f t="shared" ref="F70" si="67">(100*(B70/B58-1))</f>
        <v>-0.18999366687776353</v>
      </c>
      <c r="G70" s="170">
        <f t="shared" ref="G70" si="68">100*(B70/B46-1)</f>
        <v>6.6305818673883854</v>
      </c>
      <c r="H70" s="168">
        <f t="shared" si="3"/>
        <v>1.0923223350253806</v>
      </c>
      <c r="I70" s="110"/>
      <c r="J70" s="110"/>
      <c r="K70" s="110"/>
    </row>
    <row r="71" spans="1:11" ht="16.5" customHeight="1">
      <c r="A71" s="163" t="str">
        <f>Diesel_500!A172</f>
        <v>JUNHO|17</v>
      </c>
      <c r="B71" s="164">
        <f>[66]ÓLEOS!$F$18</f>
        <v>3.0979999999999994</v>
      </c>
      <c r="C71" s="165">
        <f t="shared" ref="C71" si="69">100*B71/B$8</f>
        <v>148.28642542600033</v>
      </c>
      <c r="D71" s="166">
        <f t="shared" ref="D71" si="70">100*(B71/B70-1)</f>
        <v>-1.7131979695431787</v>
      </c>
      <c r="E71" s="166">
        <f t="shared" si="50"/>
        <v>-2.884012539184988</v>
      </c>
      <c r="F71" s="169">
        <f t="shared" ref="F71" si="71">(100*(B71/B59-1))</f>
        <v>-1.9309908198797077</v>
      </c>
      <c r="G71" s="170">
        <f t="shared" ref="G71" si="72">100*(B71/B47-1)</f>
        <v>4.7683462969225321</v>
      </c>
      <c r="H71" s="168">
        <f t="shared" si="3"/>
        <v>1.111362169141382</v>
      </c>
      <c r="I71" s="110"/>
      <c r="J71" s="110"/>
      <c r="K71" s="110"/>
    </row>
    <row r="72" spans="1:11" ht="16.5" customHeight="1">
      <c r="A72" s="163" t="str">
        <f>Diesel_500!A173</f>
        <v>JULHO|17</v>
      </c>
      <c r="B72" s="164">
        <f>[67]ÓLEOS!$F$18</f>
        <v>3.1849999999999996</v>
      </c>
      <c r="C72" s="165">
        <f t="shared" ref="C72" si="73">100*B72/B$8</f>
        <v>152.45069883208879</v>
      </c>
      <c r="D72" s="166">
        <f t="shared" ref="D72" si="74">100*(B72/B71-1)</f>
        <v>2.8082633957391856</v>
      </c>
      <c r="E72" s="166">
        <f t="shared" ref="E72" si="75">100*((B72/$B$65)-1)</f>
        <v>-0.15673981191225428</v>
      </c>
      <c r="F72" s="169">
        <f t="shared" ref="F72" si="76">(100*(B72/B60-1))</f>
        <v>1.0469543147207716</v>
      </c>
      <c r="G72" s="170">
        <f t="shared" ref="G72" si="77">100*(B72/B48-1)</f>
        <v>7.8929539295392592</v>
      </c>
      <c r="H72" s="168">
        <f t="shared" si="3"/>
        <v>1.0810047095761384</v>
      </c>
      <c r="I72" s="110"/>
      <c r="J72" s="110"/>
      <c r="K72" s="110"/>
    </row>
    <row r="73" spans="1:11" ht="16.5" customHeight="1">
      <c r="A73" s="163" t="str">
        <f>Diesel_500!A174</f>
        <v>AGOSTO|17</v>
      </c>
      <c r="B73" s="164">
        <f>[68]ÓLEOS!$F$18</f>
        <v>3.2459999999999996</v>
      </c>
      <c r="C73" s="165">
        <f t="shared" ref="C73" si="78">100*B73/B$8</f>
        <v>155.37047673750715</v>
      </c>
      <c r="D73" s="166">
        <f t="shared" ref="D73" si="79">100*(B73/B72-1)</f>
        <v>1.9152276295133497</v>
      </c>
      <c r="E73" s="166">
        <f t="shared" ref="E73" si="80">100*((B73/$B$65)-1)</f>
        <v>1.7554858934168971</v>
      </c>
      <c r="F73" s="169">
        <f t="shared" ref="F73" si="81">(100*(B73/B61-1))</f>
        <v>3.0476190476190546</v>
      </c>
      <c r="G73" s="170">
        <f t="shared" ref="G73" si="82">100*(B73/B49-1)</f>
        <v>9.9966113181972016</v>
      </c>
      <c r="H73" s="168">
        <f t="shared" si="3"/>
        <v>1.0606900800985832</v>
      </c>
      <c r="I73" s="110"/>
      <c r="J73" s="110"/>
      <c r="K73" s="110"/>
    </row>
    <row r="74" spans="1:11" ht="16.5" customHeight="1">
      <c r="A74" s="163" t="str">
        <f>Diesel_500!A175</f>
        <v>SETEMBRO|17</v>
      </c>
      <c r="B74" s="164">
        <f>[69]ÓLEOS!$F$18</f>
        <v>3.3329999999999993</v>
      </c>
      <c r="C74" s="165">
        <f t="shared" ref="C74" si="83">100*B74/B$8</f>
        <v>159.53475014359557</v>
      </c>
      <c r="D74" s="166">
        <f t="shared" ref="D74" si="84">100*(B74/B73-1)</f>
        <v>2.6802218114602594</v>
      </c>
      <c r="E74" s="166">
        <f t="shared" ref="E74" si="85">100*((B74/$B$65)-1)</f>
        <v>4.4827586206896308</v>
      </c>
      <c r="F74" s="169">
        <f t="shared" ref="F74" si="86">(100*(B74/B62-1))</f>
        <v>5.8431248015242465</v>
      </c>
      <c r="G74" s="170">
        <f t="shared" ref="G74" si="87">100*(B74/B50-1)</f>
        <v>12.601351351351319</v>
      </c>
      <c r="H74" s="168">
        <f t="shared" ref="H74:H110" si="88">$B$110/B74</f>
        <v>1.0330033003300334</v>
      </c>
      <c r="I74" s="110"/>
      <c r="J74" s="110"/>
      <c r="K74" s="110"/>
    </row>
    <row r="75" spans="1:11" ht="16.5" customHeight="1">
      <c r="A75" s="163" t="str">
        <f>Diesel_500!A176</f>
        <v>OUTUBRO|17</v>
      </c>
      <c r="B75" s="164">
        <f>[70]ÓLEOS!$F$18</f>
        <v>3.343</v>
      </c>
      <c r="C75" s="165">
        <f t="shared" ref="C75:C80" si="89">100*B75/B$8</f>
        <v>160.01340225923795</v>
      </c>
      <c r="D75" s="166">
        <f t="shared" ref="D75:D80" si="90">100*(B75/B74-1)</f>
        <v>0.30003000300031779</v>
      </c>
      <c r="E75" s="166">
        <f t="shared" ref="E75" si="91">100*((B75/$B$65)-1)</f>
        <v>4.796238244514095</v>
      </c>
      <c r="F75" s="169">
        <f t="shared" ref="F75:F80" si="92">(100*(B75/B63-1))</f>
        <v>6.2281537972672663</v>
      </c>
      <c r="G75" s="170">
        <f t="shared" ref="G75:G80" si="93">100*(B75/B51-1)</f>
        <v>8.4333441453129829</v>
      </c>
      <c r="H75" s="168">
        <f t="shared" si="88"/>
        <v>1.0299132515704459</v>
      </c>
      <c r="I75" s="110"/>
      <c r="J75" s="110"/>
      <c r="K75" s="110"/>
    </row>
    <row r="76" spans="1:11" ht="16.5" customHeight="1">
      <c r="A76" s="163" t="str">
        <f>Diesel_500!A177</f>
        <v>NOVEMBRO|17</v>
      </c>
      <c r="B76" s="164">
        <f>[71]ÓLEOS!$F$18</f>
        <v>3.4329999999999998</v>
      </c>
      <c r="C76" s="165">
        <f t="shared" si="89"/>
        <v>164.32127130001911</v>
      </c>
      <c r="D76" s="166">
        <f t="shared" si="90"/>
        <v>2.6921926413401076</v>
      </c>
      <c r="E76" s="166">
        <f t="shared" ref="E76" si="94">100*((B76/$B$65)-1)</f>
        <v>7.6175548589341613</v>
      </c>
      <c r="F76" s="169">
        <f t="shared" si="92"/>
        <v>9.7506393861892526</v>
      </c>
      <c r="G76" s="170">
        <f t="shared" si="93"/>
        <v>9.9263528658340974</v>
      </c>
      <c r="H76" s="168">
        <f t="shared" si="88"/>
        <v>1.0029129041654532</v>
      </c>
      <c r="I76" s="110"/>
      <c r="J76" s="110"/>
      <c r="K76" s="110"/>
    </row>
    <row r="77" spans="1:11" ht="16.5" customHeight="1">
      <c r="A77" s="163" t="str">
        <f>Diesel_500!A178</f>
        <v>DEZEMBRO|17</v>
      </c>
      <c r="B77" s="164">
        <f>[72]ÓLEOS!$F$18</f>
        <v>3.4639999999999995</v>
      </c>
      <c r="C77" s="165">
        <f t="shared" si="89"/>
        <v>165.80509285851039</v>
      </c>
      <c r="D77" s="166">
        <f t="shared" si="90"/>
        <v>0.90300029129040116</v>
      </c>
      <c r="E77" s="166">
        <f t="shared" ref="E77" si="95">100*((B77/$B$65)-1)</f>
        <v>8.5893416927899313</v>
      </c>
      <c r="F77" s="169">
        <f t="shared" si="92"/>
        <v>8.5893416927899313</v>
      </c>
      <c r="G77" s="170">
        <f t="shared" si="93"/>
        <v>10.706295941195233</v>
      </c>
      <c r="H77" s="168">
        <f t="shared" si="88"/>
        <v>0.99393764434180165</v>
      </c>
      <c r="I77" s="110"/>
      <c r="J77" s="110"/>
      <c r="K77" s="110"/>
    </row>
    <row r="78" spans="1:11" ht="16.5" customHeight="1">
      <c r="A78" s="163" t="str">
        <f>Diesel_500!A179</f>
        <v>JANEIRO|18</v>
      </c>
      <c r="B78" s="164">
        <f>[73]ÓLEOS!$F$18</f>
        <v>3.5010000000000003</v>
      </c>
      <c r="C78" s="165">
        <f t="shared" si="89"/>
        <v>167.57610568638711</v>
      </c>
      <c r="D78" s="166">
        <f t="shared" si="90"/>
        <v>1.068129330254064</v>
      </c>
      <c r="E78" s="166">
        <f t="shared" ref="E78:E83" si="96">100*((B78/$B$77)-1)</f>
        <v>1.068129330254064</v>
      </c>
      <c r="F78" s="169">
        <f t="shared" si="92"/>
        <v>7.3267933782955375</v>
      </c>
      <c r="G78" s="170">
        <f t="shared" si="93"/>
        <v>10.931558935361242</v>
      </c>
      <c r="H78" s="168">
        <f t="shared" si="88"/>
        <v>0.98343330477006574</v>
      </c>
      <c r="I78" s="110"/>
      <c r="J78" s="110"/>
      <c r="K78" s="110"/>
    </row>
    <row r="79" spans="1:11" ht="16.5" customHeight="1">
      <c r="A79" s="163" t="str">
        <f>Diesel_500!A180</f>
        <v>FEVEREIRO|18</v>
      </c>
      <c r="B79" s="164">
        <f>[74]ÓLEOS!$F$18</f>
        <v>3.5079999999999996</v>
      </c>
      <c r="C79" s="165">
        <f t="shared" si="89"/>
        <v>167.91116216733673</v>
      </c>
      <c r="D79" s="166">
        <f t="shared" si="90"/>
        <v>0.19994287346469797</v>
      </c>
      <c r="E79" s="166">
        <f t="shared" si="96"/>
        <v>1.2702078521940052</v>
      </c>
      <c r="F79" s="169">
        <f t="shared" si="92"/>
        <v>8.3384805435453799</v>
      </c>
      <c r="G79" s="170">
        <f t="shared" si="93"/>
        <v>11.012658227848092</v>
      </c>
      <c r="H79" s="168">
        <f t="shared" si="88"/>
        <v>0.98147092360319299</v>
      </c>
      <c r="I79" s="110"/>
      <c r="J79" s="110"/>
      <c r="K79" s="110"/>
    </row>
    <row r="80" spans="1:11" ht="16.5" customHeight="1">
      <c r="A80" s="163" t="str">
        <f>Diesel_500!A181</f>
        <v>MARÇO|18</v>
      </c>
      <c r="B80" s="164">
        <f>[75]ÓLEOS!$F$18</f>
        <v>3.5040000000000004</v>
      </c>
      <c r="C80" s="165">
        <f t="shared" si="89"/>
        <v>167.71970132107981</v>
      </c>
      <c r="D80" s="166">
        <f t="shared" si="90"/>
        <v>-0.11402508551878743</v>
      </c>
      <c r="E80" s="166">
        <f t="shared" si="96"/>
        <v>1.1547344110854674</v>
      </c>
      <c r="F80" s="169">
        <f t="shared" si="92"/>
        <v>10.362204724409452</v>
      </c>
      <c r="G80" s="170">
        <f t="shared" si="93"/>
        <v>10.780904204868813</v>
      </c>
      <c r="H80" s="168">
        <f t="shared" si="88"/>
        <v>0.98259132420091322</v>
      </c>
      <c r="I80" s="110"/>
      <c r="J80" s="110"/>
      <c r="K80" s="110"/>
    </row>
    <row r="81" spans="1:11" ht="16.5" customHeight="1">
      <c r="A81" s="163" t="str">
        <f>Diesel_500!A182</f>
        <v>ABRIL|18</v>
      </c>
      <c r="B81" s="164">
        <f>[76]ÓLEOS!$F$18</f>
        <v>3.5550000000000002</v>
      </c>
      <c r="C81" s="165">
        <f t="shared" ref="C81" si="97">100*B81/B$8</f>
        <v>170.16082711085579</v>
      </c>
      <c r="D81" s="166">
        <f t="shared" ref="D81" si="98">100*(B81/B80-1)</f>
        <v>1.4554794520547754</v>
      </c>
      <c r="E81" s="166">
        <f t="shared" si="96"/>
        <v>2.6270207852194138</v>
      </c>
      <c r="F81" s="169">
        <f t="shared" ref="F81" si="99">(100*(B81/B69-1))</f>
        <v>12.714013950539016</v>
      </c>
      <c r="G81" s="170">
        <f t="shared" ref="G81" si="100">100*(B81/B57-1)</f>
        <v>12.35777496839443</v>
      </c>
      <c r="H81" s="168">
        <f t="shared" si="88"/>
        <v>0.96849507735583695</v>
      </c>
      <c r="I81" s="110"/>
      <c r="J81" s="110"/>
      <c r="K81" s="110"/>
    </row>
    <row r="82" spans="1:11" ht="16.5" customHeight="1">
      <c r="A82" s="196" t="str">
        <f>Diesel_500!A183</f>
        <v>MAIO|18</v>
      </c>
      <c r="B82" s="201">
        <f>[77]ÓLEOS!$F$18</f>
        <v>3.863</v>
      </c>
      <c r="C82" s="197">
        <f t="shared" ref="C82" si="101">100*B82/B$8</f>
        <v>184.90331227264022</v>
      </c>
      <c r="D82" s="198">
        <f t="shared" ref="D82" si="102">100*(B82/B81-1)</f>
        <v>8.6638537271448648</v>
      </c>
      <c r="E82" s="198">
        <f t="shared" si="96"/>
        <v>11.518475750577384</v>
      </c>
      <c r="F82" s="199">
        <f t="shared" ref="F82" si="103">(100*(B82/B70-1))</f>
        <v>22.557106598984756</v>
      </c>
      <c r="G82" s="200">
        <f t="shared" ref="G82" si="104">100*(B82/B58-1)</f>
        <v>22.324255858138041</v>
      </c>
      <c r="H82" s="168">
        <f t="shared" si="88"/>
        <v>0.89127621019932712</v>
      </c>
      <c r="I82" s="110"/>
      <c r="J82" s="110"/>
      <c r="K82" s="110"/>
    </row>
    <row r="83" spans="1:11" ht="16.5" customHeight="1">
      <c r="A83" s="196" t="str">
        <f>Diesel_500!A184</f>
        <v>JUNHO|18</v>
      </c>
      <c r="B83" s="201">
        <f>[78]ÓLEOS!$F$18</f>
        <v>3.4649999999999999</v>
      </c>
      <c r="C83" s="197">
        <f t="shared" ref="C83" si="105">100*B83/B$8</f>
        <v>165.85295807007464</v>
      </c>
      <c r="D83" s="198">
        <f t="shared" ref="D83" si="106">100*(B83/B82-1)</f>
        <v>-10.302873414444736</v>
      </c>
      <c r="E83" s="198">
        <f t="shared" si="96"/>
        <v>2.8868360277156668E-2</v>
      </c>
      <c r="F83" s="199">
        <f t="shared" ref="F83" si="107">(100*(B83/B71-1))</f>
        <v>11.846352485474521</v>
      </c>
      <c r="G83" s="200">
        <f t="shared" ref="G83" si="108">100*(B83/B59-1)</f>
        <v>9.6866096866097031</v>
      </c>
      <c r="H83" s="168">
        <f t="shared" si="88"/>
        <v>0.99365079365079378</v>
      </c>
      <c r="I83" s="110"/>
      <c r="J83" s="110"/>
      <c r="K83" s="110"/>
    </row>
    <row r="84" spans="1:11" ht="16.5" customHeight="1">
      <c r="A84" s="196" t="str">
        <f>Diesel_500!A185</f>
        <v>JULHO|18</v>
      </c>
      <c r="B84" s="201">
        <f>[79]ÓLEOS!$F$18</f>
        <v>3.456</v>
      </c>
      <c r="C84" s="197">
        <f t="shared" ref="C84" si="109">100*B84/B$8</f>
        <v>165.42217116599653</v>
      </c>
      <c r="D84" s="198">
        <f t="shared" ref="D84" si="110">100*(B84/B83-1)</f>
        <v>-0.25974025974025983</v>
      </c>
      <c r="E84" s="198">
        <f t="shared" ref="E84" si="111">100*((B84/$B$77)-1)</f>
        <v>-0.23094688221707571</v>
      </c>
      <c r="F84" s="199">
        <f t="shared" ref="F84" si="112">(100*(B84/B72-1))</f>
        <v>8.508634222919941</v>
      </c>
      <c r="G84" s="200">
        <f t="shared" ref="G84" si="113">100*(B84/B60-1)</f>
        <v>9.6446700507613947</v>
      </c>
      <c r="H84" s="168">
        <f t="shared" si="88"/>
        <v>0.99623842592592604</v>
      </c>
      <c r="I84" s="110"/>
      <c r="J84" s="110"/>
      <c r="K84" s="110"/>
    </row>
    <row r="85" spans="1:11" ht="16.5" customHeight="1">
      <c r="A85" s="196" t="str">
        <f>Diesel_500!A186</f>
        <v>AGOSTO|18</v>
      </c>
      <c r="B85" s="201">
        <f>[80]ÓLEOS!$F$18</f>
        <v>3.448999999999999</v>
      </c>
      <c r="C85" s="197">
        <f t="shared" ref="C85" si="114">100*B85/B$8</f>
        <v>165.08711468504683</v>
      </c>
      <c r="D85" s="198">
        <f t="shared" ref="D85" si="115">100*(B85/B84-1)</f>
        <v>-0.20254629629632426</v>
      </c>
      <c r="E85" s="198">
        <f t="shared" ref="E85" si="116">100*((B85/$B$77)-1)</f>
        <v>-0.43302540415706137</v>
      </c>
      <c r="F85" s="199">
        <f t="shared" ref="F85" si="117">(100*(B85/B73-1))</f>
        <v>6.2538508934072423</v>
      </c>
      <c r="G85" s="200">
        <f t="shared" ref="G85" si="118">100*(B85/B61-1)</f>
        <v>9.492063492063485</v>
      </c>
      <c r="H85" s="168">
        <f t="shared" si="88"/>
        <v>0.99826036532328255</v>
      </c>
      <c r="I85" s="110"/>
      <c r="J85" s="110"/>
      <c r="K85" s="110"/>
    </row>
    <row r="86" spans="1:11" ht="16.5" customHeight="1">
      <c r="A86" s="196" t="str">
        <f>Diesel_500!A187</f>
        <v>SETEMBRO|18</v>
      </c>
      <c r="B86" s="201">
        <f>[81]ÓLEOS!$F$18</f>
        <v>3.7319999999999998</v>
      </c>
      <c r="C86" s="197">
        <f t="shared" ref="C86" si="119">100*B86/B$8</f>
        <v>178.6329695577254</v>
      </c>
      <c r="D86" s="198">
        <f t="shared" ref="D86" si="120">100*(B86/B85-1)</f>
        <v>8.2052768918527299</v>
      </c>
      <c r="E86" s="198">
        <f t="shared" ref="E86" si="121">100*((B86/$B$77)-1)</f>
        <v>7.7367205542725248</v>
      </c>
      <c r="F86" s="199">
        <f t="shared" ref="F86" si="122">(100*(B86/B74-1))</f>
        <v>11.971197119711995</v>
      </c>
      <c r="G86" s="200">
        <f t="shared" ref="G86" si="123">100*(B86/B62-1)</f>
        <v>18.5138139091775</v>
      </c>
      <c r="H86" s="168">
        <f t="shared" si="88"/>
        <v>0.92256162915326922</v>
      </c>
      <c r="I86" s="110"/>
      <c r="J86" s="110"/>
      <c r="K86" s="110"/>
    </row>
    <row r="87" spans="1:11" ht="16.5" customHeight="1">
      <c r="A87" s="196" t="str">
        <f>Diesel_500!A188</f>
        <v>OUTUBRO|18</v>
      </c>
      <c r="B87" s="201">
        <f>[82]ÓLEOS!$F$18</f>
        <v>3.7989999999999999</v>
      </c>
      <c r="C87" s="197">
        <f t="shared" ref="C87" si="124">100*B87/B$8</f>
        <v>181.83993873252916</v>
      </c>
      <c r="D87" s="198">
        <f t="shared" ref="D87" si="125">100*(B87/B86-1)</f>
        <v>1.7952840300107242</v>
      </c>
      <c r="E87" s="198">
        <f t="shared" ref="E87" si="126">100*((B87/$B$77)-1)</f>
        <v>9.670900692840668</v>
      </c>
      <c r="F87" s="199">
        <f t="shared" ref="F87" si="127">(100*(B87/B75-1))</f>
        <v>13.640442716123236</v>
      </c>
      <c r="G87" s="200">
        <f t="shared" ref="G87" si="128">100*(B87/B63-1)</f>
        <v>20.71814426437879</v>
      </c>
      <c r="H87" s="168">
        <f t="shared" si="88"/>
        <v>0.90629112924453814</v>
      </c>
      <c r="I87" s="110"/>
      <c r="J87" s="110"/>
      <c r="K87" s="110"/>
    </row>
    <row r="88" spans="1:11" ht="16.5" customHeight="1">
      <c r="A88" s="196" t="str">
        <f>Diesel_500!A189</f>
        <v>NOVEMBRO|18</v>
      </c>
      <c r="B88" s="201">
        <f>[83]ÓLEOS!$F$18</f>
        <v>3.737000000000001</v>
      </c>
      <c r="C88" s="197">
        <f t="shared" ref="C88" si="129">100*B88/B$8</f>
        <v>178.87229561554665</v>
      </c>
      <c r="D88" s="198">
        <f t="shared" ref="D88" si="130">100*(B88/B87-1)</f>
        <v>-1.6320084232692489</v>
      </c>
      <c r="E88" s="198">
        <f t="shared" ref="E88" si="131">100*((B88/$B$77)-1)</f>
        <v>7.8810623556582415</v>
      </c>
      <c r="F88" s="199">
        <f t="shared" ref="F88" si="132">(100*(B88/B76-1))</f>
        <v>8.8552286629770336</v>
      </c>
      <c r="G88" s="200">
        <f t="shared" ref="G88" si="133">100*(B88/B64-1)</f>
        <v>19.469309462915628</v>
      </c>
      <c r="H88" s="168">
        <f t="shared" si="88"/>
        <v>0.92132726786192121</v>
      </c>
      <c r="I88" s="110"/>
      <c r="J88" s="110"/>
      <c r="K88" s="110"/>
    </row>
    <row r="89" spans="1:11" ht="16.5" customHeight="1">
      <c r="A89" s="196" t="str">
        <f>Diesel_500!A190</f>
        <v>DEZEMBRO|18</v>
      </c>
      <c r="B89" s="201">
        <f>[84]ÓLEOS!$F$18</f>
        <v>3.5629999999999997</v>
      </c>
      <c r="C89" s="197">
        <f t="shared" ref="C89" si="134">100*B89/B$8</f>
        <v>170.54374880336965</v>
      </c>
      <c r="D89" s="198">
        <f t="shared" ref="D89" si="135">100*(B89/B88-1)</f>
        <v>-4.6561412898046939</v>
      </c>
      <c r="E89" s="198">
        <f t="shared" ref="E89" si="136">100*((B89/$B$77)-1)</f>
        <v>2.8579676674364896</v>
      </c>
      <c r="F89" s="199">
        <f t="shared" ref="F89" si="137">(100*(B89/B77-1))</f>
        <v>2.8579676674364896</v>
      </c>
      <c r="G89" s="200">
        <f t="shared" ref="G89" si="138">100*(B89/B65-1)</f>
        <v>11.692789968652018</v>
      </c>
      <c r="H89" s="168">
        <f t="shared" si="88"/>
        <v>0.9663205164187485</v>
      </c>
      <c r="I89" s="110"/>
      <c r="J89" s="110"/>
      <c r="K89" s="110"/>
    </row>
    <row r="90" spans="1:11" ht="16.5" customHeight="1">
      <c r="A90" s="196" t="str">
        <f>Diesel_500!A191</f>
        <v>JANEIRO|19</v>
      </c>
      <c r="B90" s="201">
        <f>[85]ÓLEOS!$F$18</f>
        <v>3.5399999999999996</v>
      </c>
      <c r="C90" s="197">
        <f t="shared" ref="C90" si="139">100*B90/B$8</f>
        <v>169.44284893739226</v>
      </c>
      <c r="D90" s="198">
        <f t="shared" ref="D90" si="140">100*(B90/B89-1)</f>
        <v>-0.64552343530732692</v>
      </c>
      <c r="E90" s="198">
        <f t="shared" ref="E90:E95" si="141">100*((B90/$B$89)-1)</f>
        <v>-0.64552343530732692</v>
      </c>
      <c r="F90" s="199">
        <f t="shared" ref="F90" si="142">(100*(B90/B78-1))</f>
        <v>1.1139674378748632</v>
      </c>
      <c r="G90" s="200">
        <f t="shared" ref="G90" si="143">100*(B90/B66-1)</f>
        <v>8.5223789086450008</v>
      </c>
      <c r="H90" s="168">
        <f t="shared" si="88"/>
        <v>0.97259887005649748</v>
      </c>
      <c r="I90" s="110"/>
      <c r="J90" s="110"/>
      <c r="K90" s="110"/>
    </row>
    <row r="91" spans="1:11" ht="16.5" customHeight="1">
      <c r="A91" s="196" t="str">
        <f>Diesel_500!A192</f>
        <v>FEVEREIRO|19</v>
      </c>
      <c r="B91" s="201">
        <f>[86]ÓLEOS!$F$18</f>
        <v>3.5459999999999998</v>
      </c>
      <c r="C91" s="197">
        <f t="shared" ref="C91" si="144">100*B91/B$8</f>
        <v>169.73004020677766</v>
      </c>
      <c r="D91" s="198">
        <f t="shared" ref="D91" si="145">100*(B91/B90-1)</f>
        <v>0.16949152542373724</v>
      </c>
      <c r="E91" s="198">
        <f t="shared" si="141"/>
        <v>-0.47712601740106386</v>
      </c>
      <c r="F91" s="199">
        <f t="shared" ref="F91" si="146">(100*(B91/B79-1))</f>
        <v>1.0832383124287359</v>
      </c>
      <c r="G91" s="200">
        <f t="shared" ref="G91" si="147">100*(B91/B67-1)</f>
        <v>9.5120444718962194</v>
      </c>
      <c r="H91" s="168">
        <f t="shared" si="88"/>
        <v>0.97095318668922748</v>
      </c>
      <c r="I91" s="110"/>
      <c r="J91" s="110"/>
      <c r="K91" s="110"/>
    </row>
    <row r="92" spans="1:11" ht="16.5" customHeight="1">
      <c r="A92" s="196" t="str">
        <f>Diesel_500!A193</f>
        <v>MARÇO|19</v>
      </c>
      <c r="B92" s="201">
        <f>[87]ÓLEOS!$F$18</f>
        <v>3.637999999999999</v>
      </c>
      <c r="C92" s="197">
        <f t="shared" ref="C92" si="148">100*B92/B$8</f>
        <v>174.13363967068727</v>
      </c>
      <c r="D92" s="198">
        <f t="shared" ref="D92" si="149">100*(B92/B91-1)</f>
        <v>2.5944726452340472</v>
      </c>
      <c r="E92" s="198">
        <f t="shared" si="141"/>
        <v>2.1049677238282216</v>
      </c>
      <c r="F92" s="199">
        <f t="shared" ref="F92" si="150">(100*(B92/B80-1))</f>
        <v>3.8242009132419597</v>
      </c>
      <c r="G92" s="200">
        <f t="shared" ref="G92" si="151">100*(B92/B68-1)</f>
        <v>14.582677165354285</v>
      </c>
      <c r="H92" s="168">
        <f t="shared" si="88"/>
        <v>0.9463991203958223</v>
      </c>
      <c r="I92" s="110"/>
      <c r="J92" s="110"/>
      <c r="K92" s="110"/>
    </row>
    <row r="93" spans="1:11" ht="16.5" customHeight="1">
      <c r="A93" s="196" t="str">
        <f>Diesel_500!A194</f>
        <v>ABRIL|19</v>
      </c>
      <c r="B93" s="201">
        <f>[88]ÓLEOS!$F$18</f>
        <v>3.6949999999999998</v>
      </c>
      <c r="C93" s="197">
        <f t="shared" ref="C93" si="152">100*B93/B$8</f>
        <v>176.86195672984871</v>
      </c>
      <c r="D93" s="198">
        <f t="shared" ref="D93" si="153">100*(B93/B92-1)</f>
        <v>1.5667949422760064</v>
      </c>
      <c r="E93" s="198">
        <f t="shared" si="141"/>
        <v>3.7047431939376985</v>
      </c>
      <c r="F93" s="199">
        <f t="shared" ref="F93" si="154">(100*(B93/B81-1))</f>
        <v>3.9381153305203753</v>
      </c>
      <c r="G93" s="200">
        <f t="shared" ref="G93" si="155">100*(B93/B69-1)</f>
        <v>17.152821813570075</v>
      </c>
      <c r="H93" s="168">
        <f t="shared" si="88"/>
        <v>0.93179972936400557</v>
      </c>
      <c r="I93" s="110"/>
      <c r="J93" s="110"/>
      <c r="K93" s="110"/>
    </row>
    <row r="94" spans="1:11" ht="16.5" customHeight="1">
      <c r="A94" s="196" t="str">
        <f>Diesel_500!A195</f>
        <v>MAIO|19</v>
      </c>
      <c r="B94" s="201">
        <f>[89]ÓLEOS!$F$18</f>
        <v>3.7340000000000009</v>
      </c>
      <c r="C94" s="197">
        <f t="shared" ref="C94" si="156">100*B94/B$8</f>
        <v>178.72869998085392</v>
      </c>
      <c r="D94" s="198">
        <f t="shared" ref="D94" si="157">100*(B94/B93-1)</f>
        <v>1.0554803788904277</v>
      </c>
      <c r="E94" s="198">
        <f t="shared" si="141"/>
        <v>4.7993264103284083</v>
      </c>
      <c r="F94" s="199">
        <f t="shared" ref="F94" si="158">(100*(B94/B82-1))</f>
        <v>-3.3393735438777883</v>
      </c>
      <c r="G94" s="200">
        <f t="shared" ref="G94" si="159">100*(B94/B70-1)</f>
        <v>18.464467005076159</v>
      </c>
      <c r="H94" s="168">
        <f t="shared" si="88"/>
        <v>0.92206748794858051</v>
      </c>
      <c r="I94" s="110"/>
      <c r="J94" s="110"/>
      <c r="K94" s="110"/>
    </row>
    <row r="95" spans="1:11" ht="16.5" customHeight="1">
      <c r="A95" s="196" t="str">
        <f>Diesel_500!A196</f>
        <v>JUNHO|19</v>
      </c>
      <c r="B95" s="201">
        <f>[90]ÓLEOS!$F$18</f>
        <v>3.6619999999999995</v>
      </c>
      <c r="C95" s="197">
        <f t="shared" ref="C95" si="160">100*B95/B$8</f>
        <v>175.28240474822891</v>
      </c>
      <c r="D95" s="198">
        <f t="shared" ref="D95" si="161">100*(B95/B94-1)</f>
        <v>-1.9282271023031927</v>
      </c>
      <c r="E95" s="198">
        <f t="shared" si="141"/>
        <v>2.7785573954532738</v>
      </c>
      <c r="F95" s="199">
        <f t="shared" ref="F95" si="162">(100*(B95/B83-1))</f>
        <v>5.6854256854256713</v>
      </c>
      <c r="G95" s="200">
        <f t="shared" ref="G95" si="163">100*(B95/B71-1)</f>
        <v>18.20529373789541</v>
      </c>
      <c r="H95" s="168">
        <f t="shared" si="88"/>
        <v>0.94019661387220121</v>
      </c>
      <c r="I95" s="110"/>
      <c r="J95" s="110"/>
      <c r="K95" s="110"/>
    </row>
    <row r="96" spans="1:11" ht="16.5" customHeight="1">
      <c r="A96" s="196" t="str">
        <f>Diesel_500!A197</f>
        <v>JULHO|19</v>
      </c>
      <c r="B96" s="201">
        <f>[91]ÓLEOS!$F$18</f>
        <v>3.6230000000000007</v>
      </c>
      <c r="C96" s="197">
        <f t="shared" ref="C96" si="164">100*B96/B$8</f>
        <v>173.41566149722382</v>
      </c>
      <c r="D96" s="198">
        <f t="shared" ref="D96" si="165">100*(B96/B95-1)</f>
        <v>-1.0649918077552889</v>
      </c>
      <c r="E96" s="198">
        <f t="shared" ref="E96" si="166">100*((B96/$B$89)-1)</f>
        <v>1.6839741790626084</v>
      </c>
      <c r="F96" s="199">
        <f t="shared" ref="F96" si="167">(100*(B96/B84-1))</f>
        <v>4.8321759259259522</v>
      </c>
      <c r="G96" s="200">
        <f t="shared" ref="G96" si="168">100*(B96/B72-1)</f>
        <v>13.751962323390931</v>
      </c>
      <c r="H96" s="168">
        <f t="shared" si="88"/>
        <v>0.95031741650565826</v>
      </c>
      <c r="I96" s="110"/>
      <c r="J96" s="110"/>
      <c r="K96" s="110"/>
    </row>
    <row r="97" spans="1:12" ht="16.5" customHeight="1">
      <c r="A97" s="196" t="str">
        <f>Diesel_500!A198</f>
        <v>AGOSTO|19</v>
      </c>
      <c r="B97" s="201">
        <f>[92]ÓLEOS!$F$18</f>
        <v>3.6090000000000009</v>
      </c>
      <c r="C97" s="197">
        <f t="shared" ref="C97" si="169">100*B97/B$8</f>
        <v>172.74554853532453</v>
      </c>
      <c r="D97" s="198">
        <f t="shared" ref="D97" si="170">100*(B97/B96-1)</f>
        <v>-0.38642009384487475</v>
      </c>
      <c r="E97" s="198">
        <f t="shared" ref="E97" si="171">100*((B97/$B$89)-1)</f>
        <v>1.291046870614676</v>
      </c>
      <c r="F97" s="199">
        <f t="shared" ref="F97" si="172">(100*(B97/B85-1))</f>
        <v>4.6390258045810873</v>
      </c>
      <c r="G97" s="200">
        <f t="shared" ref="G97" si="173">100*(B97/B73-1)</f>
        <v>11.182994454713535</v>
      </c>
      <c r="H97" s="168">
        <f t="shared" si="88"/>
        <v>0.95400387919091156</v>
      </c>
      <c r="I97" s="110"/>
      <c r="J97" s="110"/>
      <c r="K97" s="110"/>
    </row>
    <row r="98" spans="1:12" ht="16.5" customHeight="1">
      <c r="A98" s="196" t="str">
        <f>Diesel_500!A199</f>
        <v>SETEMBRO|19</v>
      </c>
      <c r="B98" s="201">
        <f>[93]ÓLEOS!$F$18</f>
        <v>3.7489999999999997</v>
      </c>
      <c r="C98" s="197">
        <f t="shared" ref="C98" si="174">100*B98/B$8</f>
        <v>179.4466781543174</v>
      </c>
      <c r="D98" s="198">
        <f t="shared" ref="D98" si="175">100*(B98/B97-1)</f>
        <v>3.87919091160982</v>
      </c>
      <c r="E98" s="198">
        <f t="shared" ref="E98" si="176">100*((B98/$B$89)-1)</f>
        <v>5.2203199550940216</v>
      </c>
      <c r="F98" s="199">
        <f t="shared" ref="F98" si="177">(100*(B98/B86-1))</f>
        <v>0.45551982851017581</v>
      </c>
      <c r="G98" s="200">
        <f t="shared" ref="G98" si="178">100*(B98/B74-1)</f>
        <v>12.481248124812506</v>
      </c>
      <c r="H98" s="168">
        <f t="shared" si="88"/>
        <v>0.91837823419578579</v>
      </c>
      <c r="I98" s="110"/>
      <c r="J98" s="110"/>
      <c r="K98" s="110"/>
    </row>
    <row r="99" spans="1:12" ht="16.5" customHeight="1">
      <c r="A99" s="196" t="str">
        <f>Diesel_500!A200</f>
        <v>OUTUBRO|19</v>
      </c>
      <c r="B99" s="201">
        <f>[94]ÓLEOS!$F$18</f>
        <v>3.7850000000000001</v>
      </c>
      <c r="C99" s="197">
        <f t="shared" ref="C99" si="179">100*B99/B$8</f>
        <v>181.16982577062987</v>
      </c>
      <c r="D99" s="198">
        <f t="shared" ref="D99" si="180">100*(B99/B98-1)</f>
        <v>0.96025606828489263</v>
      </c>
      <c r="E99" s="198">
        <f t="shared" ref="E99" si="181">100*((B99/$B$89)-1)</f>
        <v>6.2307044625315777</v>
      </c>
      <c r="F99" s="199">
        <f t="shared" ref="F99" si="182">(100*(B99/B87-1))</f>
        <v>-0.36851803106080494</v>
      </c>
      <c r="G99" s="200">
        <f t="shared" ref="G99" si="183">100*(B99/B75-1)</f>
        <v>13.221657194137016</v>
      </c>
      <c r="H99" s="168">
        <f t="shared" si="88"/>
        <v>0.90964332892998689</v>
      </c>
      <c r="I99" s="110"/>
      <c r="J99" s="110"/>
      <c r="K99" s="110"/>
    </row>
    <row r="100" spans="1:12" ht="16.5" customHeight="1">
      <c r="A100" s="196" t="str">
        <f>Diesel_500!A201</f>
        <v>NOVEMBRO|19</v>
      </c>
      <c r="B100" s="201">
        <f>[95]ÓLEOS!$F$18</f>
        <v>3.7850000000000001</v>
      </c>
      <c r="C100" s="197">
        <f t="shared" ref="C100" si="184">100*B100/B$8</f>
        <v>181.16982577062987</v>
      </c>
      <c r="D100" s="198">
        <f t="shared" ref="D100" si="185">100*(B100/B99-1)</f>
        <v>0</v>
      </c>
      <c r="E100" s="198">
        <f t="shared" ref="E100" si="186">100*((B100/$B$89)-1)</f>
        <v>6.2307044625315777</v>
      </c>
      <c r="F100" s="199">
        <f t="shared" ref="F100" si="187">(100*(B100/B88-1))</f>
        <v>1.284452769601252</v>
      </c>
      <c r="G100" s="200">
        <f t="shared" ref="G100" si="188">100*(B100/B76-1)</f>
        <v>10.253422662394417</v>
      </c>
      <c r="H100" s="168">
        <f t="shared" si="88"/>
        <v>0.90964332892998689</v>
      </c>
      <c r="I100" s="110"/>
      <c r="J100" s="110"/>
      <c r="K100" s="110"/>
    </row>
    <row r="101" spans="1:12" ht="16.5" customHeight="1">
      <c r="A101" s="196" t="str">
        <f>Diesel_500!A202</f>
        <v>DEZEMBRO|19</v>
      </c>
      <c r="B101" s="201">
        <f>[96]ÓLEOS!$F$18</f>
        <v>3.8219999999999996</v>
      </c>
      <c r="C101" s="197">
        <f t="shared" ref="C101" si="189">100*B101/B$8</f>
        <v>182.94083859850656</v>
      </c>
      <c r="D101" s="198">
        <f t="shared" ref="D101" si="190">100*(B101/B100-1)</f>
        <v>0.97754293262879433</v>
      </c>
      <c r="E101" s="198">
        <f t="shared" ref="E101" si="191">100*((B101/$B$89)-1)</f>
        <v>7.269155206286837</v>
      </c>
      <c r="F101" s="199">
        <f t="shared" ref="F101" si="192">(100*(B101/B89-1))</f>
        <v>7.269155206286837</v>
      </c>
      <c r="G101" s="200">
        <f t="shared" ref="G101" si="193">100*(B101/B77-1)</f>
        <v>10.334872979214783</v>
      </c>
      <c r="H101" s="168">
        <f t="shared" si="88"/>
        <v>0.90083725798011538</v>
      </c>
      <c r="I101" s="110"/>
      <c r="J101" s="110"/>
      <c r="K101" s="110"/>
    </row>
    <row r="102" spans="1:12" ht="16.5" customHeight="1">
      <c r="A102" s="196" t="str">
        <f>Diesel_500!A203</f>
        <v>JANEIRO|20</v>
      </c>
      <c r="B102" s="201">
        <f>[97]ÓLEOS!$F$18</f>
        <v>3.8660000000000001</v>
      </c>
      <c r="C102" s="197">
        <f t="shared" ref="C102" si="194">100*B102/B$8</f>
        <v>185.04690790733292</v>
      </c>
      <c r="D102" s="198">
        <f t="shared" ref="D102" si="195">100*(B102/B101-1)</f>
        <v>1.151229722658309</v>
      </c>
      <c r="E102" s="198">
        <f t="shared" ref="E102:E107" si="196">100*((B102/$B$101)-1)</f>
        <v>1.151229722658309</v>
      </c>
      <c r="F102" s="199">
        <f t="shared" ref="F102" si="197">(100*(B102/B90-1))</f>
        <v>9.2090395480226128</v>
      </c>
      <c r="G102" s="200">
        <f t="shared" ref="G102" si="198">100*(B102/B78-1)</f>
        <v>10.425592687803476</v>
      </c>
      <c r="H102" s="168">
        <f t="shared" si="88"/>
        <v>0.89058458354888781</v>
      </c>
      <c r="I102" s="110"/>
      <c r="J102" s="110"/>
      <c r="K102" s="110"/>
    </row>
    <row r="103" spans="1:12" ht="16.5" customHeight="1">
      <c r="A103" s="196" t="str">
        <f>Diesel_500!A204</f>
        <v>FEVEREIRO|20</v>
      </c>
      <c r="B103" s="201">
        <f>[98]ÓLEOS!$F$18</f>
        <v>3.762999999999999</v>
      </c>
      <c r="C103" s="197">
        <f t="shared" ref="C103" si="199">100*B103/B$8</f>
        <v>180.11679111621666</v>
      </c>
      <c r="D103" s="198">
        <f t="shared" ref="D103" si="200">100*(B103/B102-1)</f>
        <v>-2.6642524573202597</v>
      </c>
      <c r="E103" s="198">
        <f t="shared" si="196"/>
        <v>-1.5436944008372699</v>
      </c>
      <c r="F103" s="199">
        <f t="shared" ref="F103" si="201">(100*(B103/B91-1))</f>
        <v>6.119571347997721</v>
      </c>
      <c r="G103" s="200">
        <f t="shared" ref="G103" si="202">100*(B103/B79-1)</f>
        <v>7.2690992018243916</v>
      </c>
      <c r="H103" s="168">
        <f t="shared" si="88"/>
        <v>0.91496146691469604</v>
      </c>
      <c r="I103" s="110"/>
      <c r="J103" s="110"/>
      <c r="K103" s="110"/>
    </row>
    <row r="104" spans="1:12" ht="16.5" customHeight="1">
      <c r="A104" s="196" t="str">
        <f>Diesel_500!A205</f>
        <v>MARÇO|20</v>
      </c>
      <c r="B104" s="201">
        <f>[99]ÓLEOS!$F$18</f>
        <v>3.59</v>
      </c>
      <c r="C104" s="197">
        <f t="shared" ref="C104" si="203">100*B104/B$8</f>
        <v>171.83610951560402</v>
      </c>
      <c r="D104" s="198">
        <f t="shared" ref="D104" si="204">100*(B104/B103-1)</f>
        <v>-4.5973956949242449</v>
      </c>
      <c r="E104" s="198">
        <f t="shared" si="196"/>
        <v>-6.070120355834641</v>
      </c>
      <c r="F104" s="199">
        <f t="shared" ref="F104" si="205">(100*(B104/B92-1))</f>
        <v>-1.3194062671797457</v>
      </c>
      <c r="G104" s="200">
        <f t="shared" ref="G104" si="206">100*(B104/B80-1)</f>
        <v>2.4543378995433685</v>
      </c>
      <c r="H104" s="168">
        <f t="shared" si="88"/>
        <v>0.9590529247910865</v>
      </c>
      <c r="I104" s="110"/>
      <c r="J104" s="110"/>
      <c r="K104" s="110"/>
    </row>
    <row r="105" spans="1:12" ht="16.5" customHeight="1">
      <c r="A105" s="196" t="str">
        <f>Diesel_500!A206</f>
        <v>ABRIL|20</v>
      </c>
      <c r="B105" s="201">
        <f>[100]ÓLEOS!$F$18</f>
        <v>3.301000000000001</v>
      </c>
      <c r="C105" s="197">
        <f t="shared" ref="C105" si="207">100*B105/B$8</f>
        <v>158.00306337354013</v>
      </c>
      <c r="D105" s="198">
        <f t="shared" ref="D105" si="208">100*(B105/B104-1)</f>
        <v>-8.0501392757659893</v>
      </c>
      <c r="E105" s="198">
        <f t="shared" si="196"/>
        <v>-13.631606488749314</v>
      </c>
      <c r="F105" s="199">
        <f t="shared" ref="F105" si="209">(100*(B105/B93-1))</f>
        <v>-10.663058186738805</v>
      </c>
      <c r="G105" s="200">
        <f t="shared" ref="G105" si="210">100*(B105/B81-1)</f>
        <v>-7.1448663853726941</v>
      </c>
      <c r="H105" s="168">
        <f t="shared" si="88"/>
        <v>1.0430172674946985</v>
      </c>
      <c r="I105" s="110"/>
      <c r="J105" s="110"/>
      <c r="K105" s="110"/>
    </row>
    <row r="106" spans="1:12" ht="16.5" customHeight="1">
      <c r="A106" s="196" t="str">
        <f>Diesel_500!A207</f>
        <v>MAIO|20</v>
      </c>
      <c r="B106" s="201">
        <f>[101]ÓLEOS!$F$18</f>
        <v>3.1059999999999994</v>
      </c>
      <c r="C106" s="197">
        <f t="shared" ref="C106" si="211">100*B106/B$8</f>
        <v>148.66934711851422</v>
      </c>
      <c r="D106" s="198">
        <f t="shared" ref="D106" si="212">100*(B106/B105-1)</f>
        <v>-5.9073008179340025</v>
      </c>
      <c r="E106" s="198">
        <f t="shared" si="196"/>
        <v>-18.733647305075884</v>
      </c>
      <c r="F106" s="199">
        <f t="shared" ref="F106" si="213">(100*(B106/B94-1))</f>
        <v>-16.818425281199822</v>
      </c>
      <c r="G106" s="200">
        <f t="shared" ref="G106" si="214">100*(B106/B82-1)</f>
        <v>-19.596168780740374</v>
      </c>
      <c r="H106" s="168">
        <f t="shared" si="88"/>
        <v>1.1084996780424987</v>
      </c>
      <c r="I106" s="110"/>
      <c r="J106" s="110"/>
      <c r="K106" s="110"/>
    </row>
    <row r="107" spans="1:12" ht="16.5" customHeight="1">
      <c r="A107" s="196" t="str">
        <f>Diesel_500!A208</f>
        <v>JUNHO|20</v>
      </c>
      <c r="B107" s="201">
        <f>[102]ÓLEOS!$F$18</f>
        <v>3.23</v>
      </c>
      <c r="C107" s="197">
        <f t="shared" ref="C107" si="215">100*B107/B$8</f>
        <v>154.6046333524794</v>
      </c>
      <c r="D107" s="198">
        <f t="shared" ref="D107" si="216">100*(B107/B106-1)</f>
        <v>3.9922730199613898</v>
      </c>
      <c r="E107" s="198">
        <f t="shared" si="196"/>
        <v>-15.489272632129769</v>
      </c>
      <c r="F107" s="199">
        <f t="shared" ref="F107" si="217">(100*(B107/B95-1))</f>
        <v>-11.796832332058971</v>
      </c>
      <c r="G107" s="200">
        <f t="shared" ref="G107" si="218">100*(B107/B83-1)</f>
        <v>-6.7821067821067782</v>
      </c>
      <c r="H107" s="168">
        <f t="shared" si="88"/>
        <v>1.0659442724458206</v>
      </c>
      <c r="I107" s="110"/>
      <c r="J107" s="110"/>
      <c r="K107" s="110"/>
    </row>
    <row r="108" spans="1:12" ht="16.5" customHeight="1">
      <c r="A108" s="196" t="str">
        <f>Diesel_500!A209</f>
        <v>JULHO|20</v>
      </c>
      <c r="B108" s="201">
        <f>[103]ÓLEOS!$F$18</f>
        <v>3.4039999999999999</v>
      </c>
      <c r="C108" s="197">
        <f t="shared" ref="C108" si="219">100*B108/B$8</f>
        <v>162.93318016465628</v>
      </c>
      <c r="D108" s="198">
        <f t="shared" ref="D108" si="220">100*(B108/B107-1)</f>
        <v>5.3869969040247767</v>
      </c>
      <c r="E108" s="198">
        <f t="shared" ref="E108" si="221">100*((B108/$B$101)-1)</f>
        <v>-10.936682365253791</v>
      </c>
      <c r="F108" s="199">
        <f t="shared" ref="F108" si="222">(100*(B108/B96-1))</f>
        <v>-6.0447143251449287</v>
      </c>
      <c r="G108" s="200">
        <f t="shared" ref="G108" si="223">100*(B108/B84-1)</f>
        <v>-1.504629629629628</v>
      </c>
      <c r="H108" s="168">
        <f t="shared" si="88"/>
        <v>1.0114571092831963</v>
      </c>
      <c r="I108" s="110"/>
      <c r="J108" s="110"/>
      <c r="K108" s="110"/>
    </row>
    <row r="109" spans="1:12" ht="16.5" customHeight="1">
      <c r="A109" s="196" t="str">
        <f>Diesel_500!A210</f>
        <v>AGOSTO|20</v>
      </c>
      <c r="B109" s="201">
        <f>[104]ÓLEOS!$F$18</f>
        <v>3.4430000000000005</v>
      </c>
      <c r="C109" s="197">
        <f t="shared" ref="C109" si="224">100*B109/B$8</f>
        <v>164.79992341566151</v>
      </c>
      <c r="D109" s="198">
        <f t="shared" ref="D109" si="225">100*(B109/B108-1)</f>
        <v>1.1457109283196321</v>
      </c>
      <c r="E109" s="198">
        <f t="shared" ref="E109" si="226">100*((B109/$B$101)-1)</f>
        <v>-9.9162742019884611</v>
      </c>
      <c r="F109" s="199">
        <f t="shared" ref="F109" si="227">(100*(B109/B97-1))</f>
        <v>-4.5996120809088437</v>
      </c>
      <c r="G109" s="200">
        <f t="shared" ref="G109" si="228">100*(B109/B85-1)</f>
        <v>-0.17396346767174498</v>
      </c>
      <c r="H109" s="202">
        <f t="shared" si="88"/>
        <v>1</v>
      </c>
      <c r="I109" s="110"/>
      <c r="J109" s="110"/>
      <c r="K109" s="110"/>
    </row>
    <row r="110" spans="1:12" ht="16.5" customHeight="1" thickBot="1">
      <c r="A110" s="151" t="str">
        <f>Diesel_500!A211</f>
        <v>SETEMBRO|20</v>
      </c>
      <c r="B110" s="171">
        <f>[258]ÓLEOS!$F$18</f>
        <v>3.4430000000000005</v>
      </c>
      <c r="C110" s="153">
        <f t="shared" ref="C110" si="229">100*B110/B$8</f>
        <v>164.79992341566151</v>
      </c>
      <c r="D110" s="154">
        <f t="shared" ref="D110" si="230">100*(B110/B109-1)</f>
        <v>0</v>
      </c>
      <c r="E110" s="154">
        <f t="shared" ref="E110" si="231">100*((B110/$B$101)-1)</f>
        <v>-9.9162742019884611</v>
      </c>
      <c r="F110" s="155">
        <f t="shared" ref="F110" si="232">(100*(B110/B98-1))</f>
        <v>-8.1621765804214199</v>
      </c>
      <c r="G110" s="156">
        <f t="shared" ref="G110" si="233">100*(B110/B86-1)</f>
        <v>-7.7438370846730775</v>
      </c>
      <c r="H110" s="172">
        <f t="shared" si="88"/>
        <v>1</v>
      </c>
      <c r="I110" s="110"/>
      <c r="J110" s="110"/>
      <c r="K110" s="110"/>
    </row>
    <row r="111" spans="1:12" ht="16.5" customHeight="1">
      <c r="A111" s="112" t="s">
        <v>18</v>
      </c>
      <c r="B111" s="113"/>
      <c r="C111" s="114"/>
      <c r="D111" s="115"/>
      <c r="E111" s="115"/>
      <c r="F111" s="116"/>
      <c r="G111" s="117"/>
      <c r="H111" s="118"/>
      <c r="I111" s="119"/>
    </row>
    <row r="112" spans="1:12"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</row>
    <row r="113" spans="1:12">
      <c r="A113" s="120"/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</row>
    <row r="114" spans="1:12"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</row>
    <row r="115" spans="1:12">
      <c r="A115" s="105"/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</row>
    <row r="116" spans="1:12"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</row>
    <row r="117" spans="1:12"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</row>
    <row r="118" spans="1:12">
      <c r="A118" s="106"/>
      <c r="B118" s="104"/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</row>
    <row r="119" spans="1:12">
      <c r="A119" s="106"/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</row>
    <row r="120" spans="1:12">
      <c r="B120" s="107"/>
      <c r="C120" s="107"/>
      <c r="D120" s="108"/>
      <c r="E120" s="107"/>
      <c r="F120" s="104"/>
      <c r="G120" s="104"/>
      <c r="H120" s="104"/>
      <c r="I120" s="104"/>
      <c r="J120" s="104"/>
      <c r="K120" s="104"/>
      <c r="L120" s="104"/>
    </row>
    <row r="121" spans="1:12"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</row>
    <row r="122" spans="1:12"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</row>
    <row r="123" spans="1:12"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</row>
    <row r="124" spans="1:12"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</row>
    <row r="125" spans="1:12"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</row>
    <row r="126" spans="1:12"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</row>
    <row r="127" spans="1:12"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</row>
    <row r="128" spans="1:12"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</row>
    <row r="129" spans="1:12"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</row>
    <row r="130" spans="1:12"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</row>
    <row r="131" spans="1:12"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</row>
    <row r="132" spans="1:12">
      <c r="A132" s="105"/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</row>
    <row r="133" spans="1:12"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</row>
    <row r="134" spans="1:12"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</row>
    <row r="135" spans="1:12">
      <c r="A135" s="106"/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</row>
    <row r="136" spans="1:12">
      <c r="A136" s="106"/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</row>
    <row r="137" spans="1:12">
      <c r="B137" s="107"/>
      <c r="C137" s="107"/>
      <c r="D137" s="108"/>
      <c r="E137" s="107"/>
      <c r="F137" s="104"/>
      <c r="G137" s="104"/>
      <c r="H137" s="104"/>
      <c r="I137" s="104"/>
      <c r="J137" s="104"/>
      <c r="K137" s="104"/>
      <c r="L137" s="104"/>
    </row>
    <row r="138" spans="1:12">
      <c r="B138" s="104"/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</row>
    <row r="139" spans="1:12"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</row>
    <row r="140" spans="1:12">
      <c r="B140" s="104"/>
      <c r="C140" s="104"/>
      <c r="D140" s="104"/>
      <c r="E140" s="104"/>
      <c r="F140" s="104"/>
      <c r="G140" s="104"/>
      <c r="H140" s="104"/>
      <c r="I140" s="104"/>
      <c r="J140" s="104"/>
      <c r="K140" s="104"/>
      <c r="L140" s="104"/>
    </row>
    <row r="141" spans="1:12"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</row>
    <row r="142" spans="1:12">
      <c r="B142" s="104"/>
      <c r="C142" s="104"/>
      <c r="D142" s="104"/>
      <c r="E142" s="104"/>
      <c r="F142" s="104"/>
      <c r="G142" s="104"/>
      <c r="H142" s="104"/>
      <c r="I142" s="104"/>
      <c r="J142" s="104"/>
      <c r="K142" s="104"/>
      <c r="L142" s="104"/>
    </row>
    <row r="143" spans="1:12">
      <c r="B143" s="104"/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</row>
    <row r="144" spans="1:12">
      <c r="B144" s="104"/>
      <c r="C144" s="104"/>
      <c r="D144" s="104"/>
      <c r="E144" s="104"/>
      <c r="F144" s="104"/>
      <c r="G144" s="104"/>
      <c r="H144" s="104"/>
      <c r="I144" s="104"/>
      <c r="J144" s="104"/>
      <c r="K144" s="104"/>
      <c r="L144" s="104"/>
    </row>
    <row r="145" spans="1:12">
      <c r="B145" s="104"/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</row>
    <row r="146" spans="1:12">
      <c r="B146" s="104"/>
      <c r="C146" s="104"/>
      <c r="D146" s="104"/>
      <c r="E146" s="104"/>
      <c r="F146" s="104"/>
      <c r="G146" s="104"/>
      <c r="H146" s="104"/>
      <c r="I146" s="104"/>
      <c r="J146" s="104"/>
      <c r="K146" s="104"/>
      <c r="L146" s="104"/>
    </row>
    <row r="147" spans="1:12">
      <c r="B147" s="104"/>
      <c r="C147" s="104"/>
      <c r="D147" s="104"/>
      <c r="E147" s="104"/>
      <c r="F147" s="104"/>
      <c r="G147" s="104"/>
      <c r="H147" s="104"/>
      <c r="I147" s="104"/>
      <c r="J147" s="104"/>
      <c r="K147" s="104"/>
      <c r="L147" s="104"/>
    </row>
    <row r="148" spans="1:12">
      <c r="B148" s="104"/>
      <c r="C148" s="104"/>
      <c r="D148" s="104"/>
      <c r="E148" s="104"/>
      <c r="F148" s="104"/>
      <c r="G148" s="104"/>
      <c r="H148" s="104"/>
      <c r="I148" s="104"/>
      <c r="J148" s="104"/>
      <c r="K148" s="104"/>
      <c r="L148" s="104"/>
    </row>
    <row r="149" spans="1:12">
      <c r="A149" s="105"/>
      <c r="B149" s="104"/>
      <c r="C149" s="104"/>
      <c r="D149" s="104"/>
      <c r="E149" s="104"/>
      <c r="F149" s="104"/>
      <c r="G149" s="104"/>
      <c r="H149" s="104"/>
      <c r="I149" s="104"/>
      <c r="J149" s="104"/>
      <c r="K149" s="104"/>
      <c r="L149" s="104"/>
    </row>
    <row r="150" spans="1:12">
      <c r="B150" s="104"/>
      <c r="C150" s="104"/>
      <c r="D150" s="104"/>
      <c r="E150" s="104"/>
      <c r="F150" s="104"/>
      <c r="G150" s="104"/>
      <c r="H150" s="104"/>
      <c r="I150" s="104"/>
      <c r="J150" s="104"/>
      <c r="K150" s="104"/>
      <c r="L150" s="104"/>
    </row>
    <row r="151" spans="1:12">
      <c r="B151" s="104"/>
      <c r="C151" s="104"/>
      <c r="D151" s="104"/>
      <c r="E151" s="104"/>
      <c r="F151" s="104"/>
      <c r="G151" s="104"/>
      <c r="H151" s="104"/>
      <c r="I151" s="104"/>
      <c r="J151" s="104"/>
      <c r="K151" s="104"/>
      <c r="L151" s="104"/>
    </row>
    <row r="152" spans="1:12">
      <c r="B152" s="104"/>
      <c r="C152" s="104"/>
      <c r="D152" s="104"/>
      <c r="E152" s="104"/>
      <c r="F152" s="104"/>
      <c r="G152" s="104"/>
      <c r="H152" s="104"/>
      <c r="I152" s="104"/>
      <c r="J152" s="104"/>
      <c r="K152" s="104"/>
      <c r="L152" s="104"/>
    </row>
    <row r="153" spans="1:12">
      <c r="B153" s="104"/>
      <c r="C153" s="104"/>
      <c r="D153" s="104"/>
      <c r="E153" s="104"/>
      <c r="F153" s="104"/>
      <c r="G153" s="104"/>
      <c r="H153" s="104"/>
      <c r="I153" s="104"/>
      <c r="J153" s="104"/>
      <c r="K153" s="104"/>
      <c r="L153" s="104"/>
    </row>
    <row r="154" spans="1:12">
      <c r="B154" s="104"/>
      <c r="C154" s="104"/>
      <c r="D154" s="104"/>
      <c r="E154" s="104"/>
      <c r="F154" s="104"/>
      <c r="G154" s="104"/>
      <c r="H154" s="104"/>
      <c r="I154" s="104"/>
      <c r="J154" s="104"/>
      <c r="K154" s="104"/>
      <c r="L154" s="104"/>
    </row>
    <row r="155" spans="1:12">
      <c r="B155" s="104"/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</row>
    <row r="156" spans="1:12">
      <c r="B156" s="104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</row>
    <row r="157" spans="1:12">
      <c r="B157" s="104"/>
      <c r="C157" s="104"/>
      <c r="D157" s="104"/>
      <c r="E157" s="104"/>
      <c r="F157" s="104"/>
      <c r="G157" s="104"/>
      <c r="H157" s="104"/>
      <c r="I157" s="104"/>
      <c r="J157" s="104"/>
      <c r="K157" s="104"/>
      <c r="L157" s="104"/>
    </row>
    <row r="158" spans="1:12">
      <c r="B158" s="104"/>
      <c r="C158" s="104"/>
      <c r="D158" s="104"/>
      <c r="E158" s="104"/>
      <c r="F158" s="104"/>
      <c r="G158" s="104"/>
      <c r="H158" s="104"/>
      <c r="I158" s="104"/>
      <c r="J158" s="104"/>
      <c r="K158" s="104"/>
      <c r="L158" s="104"/>
    </row>
    <row r="159" spans="1:12">
      <c r="B159" s="104"/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</row>
    <row r="160" spans="1:12">
      <c r="B160" s="104"/>
      <c r="C160" s="104"/>
      <c r="D160" s="104"/>
      <c r="E160" s="104"/>
      <c r="F160" s="104"/>
      <c r="G160" s="104"/>
      <c r="H160" s="104"/>
      <c r="I160" s="104"/>
      <c r="J160" s="104"/>
      <c r="K160" s="104"/>
      <c r="L160" s="104"/>
    </row>
    <row r="161" spans="2:12">
      <c r="B161" s="104"/>
      <c r="C161" s="104"/>
      <c r="D161" s="104"/>
      <c r="E161" s="104"/>
      <c r="F161" s="104"/>
      <c r="G161" s="104"/>
      <c r="H161" s="104"/>
      <c r="I161" s="104"/>
      <c r="J161" s="104"/>
      <c r="K161" s="104"/>
      <c r="L161" s="104"/>
    </row>
    <row r="162" spans="2:12">
      <c r="B162" s="104"/>
      <c r="C162" s="104"/>
      <c r="D162" s="104"/>
      <c r="E162" s="104"/>
      <c r="F162" s="104"/>
      <c r="G162" s="104"/>
      <c r="H162" s="104"/>
      <c r="I162" s="104"/>
      <c r="J162" s="104"/>
      <c r="K162" s="104"/>
      <c r="L162" s="104"/>
    </row>
    <row r="163" spans="2:12">
      <c r="B163" s="104"/>
      <c r="C163" s="104"/>
      <c r="D163" s="104"/>
      <c r="E163" s="104"/>
      <c r="F163" s="104"/>
      <c r="G163" s="104"/>
      <c r="H163" s="104"/>
      <c r="I163" s="104"/>
      <c r="J163" s="104"/>
      <c r="K163" s="104"/>
      <c r="L163" s="104"/>
    </row>
    <row r="164" spans="2:12">
      <c r="B164" s="104"/>
      <c r="C164" s="104"/>
      <c r="D164" s="104"/>
      <c r="E164" s="104"/>
      <c r="F164" s="104"/>
      <c r="G164" s="104"/>
      <c r="H164" s="104"/>
      <c r="I164" s="104"/>
      <c r="J164" s="104"/>
      <c r="K164" s="104"/>
      <c r="L164" s="104"/>
    </row>
    <row r="165" spans="2:12">
      <c r="B165" s="104"/>
      <c r="C165" s="104"/>
      <c r="D165" s="104"/>
      <c r="E165" s="104"/>
      <c r="F165" s="104"/>
      <c r="G165" s="104"/>
      <c r="H165" s="104"/>
      <c r="I165" s="104"/>
      <c r="J165" s="104"/>
      <c r="K165" s="104"/>
      <c r="L165" s="104"/>
    </row>
    <row r="166" spans="2:12">
      <c r="B166" s="104"/>
      <c r="C166" s="104"/>
      <c r="D166" s="104"/>
      <c r="E166" s="104"/>
      <c r="F166" s="104"/>
      <c r="G166" s="104"/>
      <c r="H166" s="104"/>
      <c r="I166" s="104"/>
      <c r="J166" s="104"/>
      <c r="K166" s="104"/>
      <c r="L166" s="104"/>
    </row>
    <row r="167" spans="2:12">
      <c r="B167" s="104"/>
      <c r="C167" s="104"/>
      <c r="D167" s="104"/>
      <c r="E167" s="104"/>
      <c r="F167" s="104"/>
      <c r="G167" s="104"/>
      <c r="H167" s="104"/>
      <c r="I167" s="104"/>
      <c r="J167" s="104"/>
      <c r="K167" s="104"/>
      <c r="L167" s="104"/>
    </row>
    <row r="168" spans="2:12">
      <c r="B168" s="104"/>
      <c r="C168" s="104"/>
      <c r="D168" s="104"/>
      <c r="E168" s="104"/>
      <c r="F168" s="104"/>
      <c r="G168" s="104"/>
      <c r="H168" s="104"/>
      <c r="I168" s="104"/>
      <c r="J168" s="104"/>
      <c r="K168" s="104"/>
      <c r="L168" s="104"/>
    </row>
    <row r="169" spans="2:12">
      <c r="B169" s="104"/>
      <c r="C169" s="104"/>
      <c r="D169" s="104"/>
      <c r="E169" s="104"/>
      <c r="F169" s="104"/>
      <c r="G169" s="104"/>
      <c r="H169" s="104"/>
      <c r="I169" s="104"/>
      <c r="J169" s="104"/>
      <c r="K169" s="104"/>
      <c r="L169" s="104"/>
    </row>
    <row r="170" spans="2:12">
      <c r="B170" s="104"/>
      <c r="C170" s="104"/>
      <c r="D170" s="104"/>
      <c r="E170" s="104"/>
      <c r="F170" s="104"/>
      <c r="G170" s="104"/>
      <c r="H170" s="104"/>
      <c r="I170" s="104"/>
      <c r="J170" s="104"/>
      <c r="K170" s="104"/>
      <c r="L170" s="104"/>
    </row>
    <row r="171" spans="2:12">
      <c r="B171" s="104"/>
      <c r="C171" s="104"/>
      <c r="D171" s="104"/>
      <c r="E171" s="104"/>
      <c r="F171" s="104"/>
      <c r="G171" s="104"/>
      <c r="H171" s="104"/>
      <c r="I171" s="104"/>
      <c r="J171" s="104"/>
      <c r="K171" s="104"/>
      <c r="L171" s="104"/>
    </row>
    <row r="172" spans="2:12">
      <c r="B172" s="104"/>
      <c r="C172" s="104"/>
      <c r="D172" s="104"/>
      <c r="E172" s="104"/>
      <c r="F172" s="104"/>
      <c r="G172" s="104"/>
      <c r="H172" s="104"/>
      <c r="I172" s="104"/>
      <c r="J172" s="104"/>
      <c r="K172" s="104"/>
      <c r="L172" s="104"/>
    </row>
    <row r="173" spans="2:12">
      <c r="B173" s="104"/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</row>
    <row r="174" spans="2:12">
      <c r="B174" s="104"/>
      <c r="C174" s="104"/>
      <c r="D174" s="104"/>
      <c r="E174" s="104"/>
      <c r="F174" s="104"/>
      <c r="G174" s="104"/>
      <c r="H174" s="104"/>
      <c r="I174" s="104"/>
      <c r="J174" s="104"/>
      <c r="K174" s="104"/>
      <c r="L174" s="104"/>
    </row>
    <row r="175" spans="2:12">
      <c r="B175" s="104"/>
      <c r="C175" s="104"/>
      <c r="D175" s="104"/>
      <c r="E175" s="104"/>
      <c r="F175" s="104"/>
      <c r="G175" s="104"/>
      <c r="H175" s="104"/>
      <c r="I175" s="104"/>
      <c r="J175" s="104"/>
      <c r="K175" s="104"/>
      <c r="L175" s="104"/>
    </row>
    <row r="176" spans="2:12">
      <c r="B176" s="104"/>
      <c r="C176" s="104"/>
      <c r="D176" s="104"/>
      <c r="E176" s="104"/>
      <c r="F176" s="104"/>
      <c r="G176" s="104"/>
      <c r="H176" s="104"/>
      <c r="I176" s="104"/>
      <c r="J176" s="104"/>
      <c r="K176" s="104"/>
      <c r="L176" s="104"/>
    </row>
    <row r="177" spans="2:12">
      <c r="B177" s="104"/>
      <c r="C177" s="104"/>
      <c r="D177" s="104"/>
      <c r="E177" s="104"/>
      <c r="F177" s="104"/>
      <c r="G177" s="104"/>
      <c r="H177" s="104"/>
      <c r="I177" s="104"/>
      <c r="J177" s="104"/>
      <c r="K177" s="104"/>
      <c r="L177" s="104"/>
    </row>
    <row r="178" spans="2:12">
      <c r="B178" s="104"/>
      <c r="C178" s="104"/>
      <c r="D178" s="104"/>
      <c r="E178" s="104"/>
      <c r="F178" s="104"/>
      <c r="G178" s="104"/>
      <c r="H178" s="104"/>
      <c r="I178" s="104"/>
      <c r="J178" s="104"/>
      <c r="K178" s="104"/>
      <c r="L178" s="104"/>
    </row>
    <row r="179" spans="2:12">
      <c r="B179" s="104"/>
      <c r="C179" s="104"/>
      <c r="D179" s="104"/>
      <c r="E179" s="104"/>
      <c r="F179" s="104"/>
      <c r="G179" s="104"/>
      <c r="H179" s="104"/>
      <c r="I179" s="104"/>
      <c r="J179" s="104"/>
      <c r="K179" s="104"/>
      <c r="L179" s="104"/>
    </row>
    <row r="180" spans="2:12">
      <c r="B180" s="104"/>
      <c r="C180" s="104"/>
      <c r="D180" s="104"/>
      <c r="E180" s="104"/>
      <c r="F180" s="104"/>
      <c r="G180" s="104"/>
      <c r="H180" s="104"/>
      <c r="I180" s="104"/>
      <c r="J180" s="104"/>
      <c r="K180" s="104"/>
      <c r="L180" s="104"/>
    </row>
    <row r="181" spans="2:12">
      <c r="B181" s="104"/>
      <c r="C181" s="104"/>
      <c r="D181" s="104"/>
      <c r="E181" s="104"/>
      <c r="F181" s="104"/>
      <c r="G181" s="104"/>
      <c r="H181" s="104"/>
      <c r="I181" s="104"/>
      <c r="J181" s="104"/>
      <c r="K181" s="104"/>
      <c r="L181" s="104"/>
    </row>
    <row r="182" spans="2:12">
      <c r="B182" s="104"/>
      <c r="C182" s="104"/>
      <c r="D182" s="104"/>
      <c r="E182" s="104"/>
      <c r="F182" s="104"/>
      <c r="G182" s="104"/>
      <c r="H182" s="104"/>
      <c r="I182" s="104"/>
      <c r="J182" s="104"/>
      <c r="K182" s="104"/>
      <c r="L182" s="104"/>
    </row>
    <row r="183" spans="2:12">
      <c r="B183" s="104"/>
      <c r="C183" s="104"/>
      <c r="D183" s="104"/>
      <c r="E183" s="104"/>
      <c r="F183" s="104"/>
      <c r="G183" s="104"/>
      <c r="H183" s="104"/>
      <c r="I183" s="104"/>
      <c r="J183" s="104"/>
      <c r="K183" s="104"/>
      <c r="L183" s="104"/>
    </row>
    <row r="184" spans="2:12">
      <c r="B184" s="104"/>
      <c r="C184" s="104"/>
      <c r="D184" s="104"/>
      <c r="E184" s="104"/>
      <c r="F184" s="104"/>
      <c r="G184" s="104"/>
      <c r="H184" s="104"/>
      <c r="I184" s="104"/>
      <c r="J184" s="104"/>
      <c r="K184" s="104"/>
      <c r="L184" s="104"/>
    </row>
    <row r="185" spans="2:12">
      <c r="B185" s="104"/>
      <c r="C185" s="104"/>
      <c r="D185" s="104"/>
      <c r="E185" s="104"/>
      <c r="F185" s="104"/>
      <c r="G185" s="104"/>
      <c r="H185" s="104"/>
      <c r="I185" s="104"/>
      <c r="J185" s="104"/>
      <c r="K185" s="104"/>
      <c r="L185" s="104"/>
    </row>
    <row r="186" spans="2:12">
      <c r="B186" s="104"/>
      <c r="C186" s="104"/>
      <c r="D186" s="104"/>
      <c r="E186" s="104"/>
      <c r="F186" s="104"/>
      <c r="G186" s="104"/>
      <c r="H186" s="104"/>
      <c r="I186" s="104"/>
      <c r="J186" s="104"/>
      <c r="K186" s="104"/>
      <c r="L186" s="104"/>
    </row>
    <row r="187" spans="2:12">
      <c r="B187" s="104"/>
      <c r="C187" s="104"/>
      <c r="D187" s="104"/>
      <c r="E187" s="104"/>
      <c r="F187" s="104"/>
      <c r="G187" s="104"/>
      <c r="H187" s="104"/>
      <c r="I187" s="104"/>
      <c r="J187" s="104"/>
      <c r="K187" s="104"/>
      <c r="L187" s="104"/>
    </row>
    <row r="188" spans="2:12">
      <c r="B188" s="104"/>
      <c r="C188" s="104"/>
      <c r="D188" s="104"/>
      <c r="E188" s="104"/>
      <c r="F188" s="104"/>
      <c r="G188" s="104"/>
      <c r="H188" s="104"/>
      <c r="I188" s="104"/>
      <c r="J188" s="104"/>
      <c r="K188" s="104"/>
      <c r="L188" s="104"/>
    </row>
    <row r="189" spans="2:12">
      <c r="B189" s="104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</row>
    <row r="190" spans="2:12">
      <c r="B190" s="104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</row>
    <row r="191" spans="2:12">
      <c r="B191" s="104"/>
      <c r="C191" s="104"/>
      <c r="D191" s="104"/>
      <c r="E191" s="104"/>
      <c r="F191" s="104"/>
      <c r="G191" s="104"/>
      <c r="H191" s="104"/>
      <c r="I191" s="104"/>
      <c r="J191" s="104"/>
      <c r="K191" s="104"/>
      <c r="L191" s="104"/>
    </row>
    <row r="192" spans="2:12">
      <c r="B192" s="104"/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</row>
    <row r="193" spans="2:12">
      <c r="B193" s="104"/>
      <c r="C193" s="104"/>
      <c r="D193" s="104"/>
      <c r="E193" s="104"/>
      <c r="F193" s="104"/>
      <c r="G193" s="104"/>
      <c r="H193" s="104"/>
      <c r="I193" s="104"/>
      <c r="J193" s="104"/>
      <c r="K193" s="104"/>
      <c r="L193" s="104"/>
    </row>
    <row r="194" spans="2:12">
      <c r="B194" s="104"/>
      <c r="C194" s="104"/>
      <c r="D194" s="104"/>
      <c r="E194" s="104"/>
      <c r="F194" s="104"/>
      <c r="G194" s="104"/>
      <c r="H194" s="104"/>
      <c r="I194" s="104"/>
      <c r="J194" s="104"/>
      <c r="K194" s="104"/>
      <c r="L194" s="104"/>
    </row>
    <row r="195" spans="2:12">
      <c r="B195" s="104"/>
      <c r="C195" s="104"/>
      <c r="D195" s="104"/>
      <c r="E195" s="104"/>
      <c r="F195" s="104"/>
      <c r="G195" s="104"/>
      <c r="H195" s="104"/>
      <c r="I195" s="104"/>
      <c r="J195" s="104"/>
      <c r="K195" s="104"/>
      <c r="L195" s="104"/>
    </row>
    <row r="196" spans="2:12">
      <c r="B196" s="104"/>
      <c r="C196" s="104"/>
      <c r="D196" s="104"/>
      <c r="E196" s="104"/>
      <c r="F196" s="104"/>
      <c r="G196" s="104"/>
      <c r="H196" s="104"/>
      <c r="I196" s="104"/>
      <c r="J196" s="104"/>
      <c r="K196" s="104"/>
      <c r="L196" s="104"/>
    </row>
    <row r="197" spans="2:12">
      <c r="B197" s="104"/>
      <c r="C197" s="104"/>
      <c r="D197" s="104"/>
      <c r="E197" s="104"/>
      <c r="F197" s="104"/>
      <c r="G197" s="104"/>
      <c r="H197" s="104"/>
      <c r="I197" s="104"/>
      <c r="J197" s="104"/>
      <c r="K197" s="104"/>
      <c r="L197" s="104"/>
    </row>
    <row r="198" spans="2:12"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</row>
    <row r="199" spans="2:12"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</row>
    <row r="200" spans="2:12">
      <c r="B200" s="104"/>
      <c r="C200" s="104"/>
      <c r="D200" s="104"/>
      <c r="E200" s="104"/>
      <c r="F200" s="104"/>
      <c r="G200" s="104"/>
      <c r="H200" s="104"/>
      <c r="I200" s="104"/>
      <c r="J200" s="104"/>
      <c r="K200" s="104"/>
      <c r="L200" s="104"/>
    </row>
    <row r="201" spans="2:12"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</row>
    <row r="202" spans="2:12">
      <c r="B202" s="104"/>
      <c r="C202" s="104"/>
      <c r="D202" s="104"/>
      <c r="E202" s="104"/>
      <c r="F202" s="104"/>
      <c r="G202" s="104"/>
      <c r="H202" s="104"/>
      <c r="I202" s="104"/>
      <c r="J202" s="104"/>
      <c r="K202" s="104"/>
      <c r="L202" s="104"/>
    </row>
    <row r="203" spans="2:12">
      <c r="B203" s="104"/>
      <c r="C203" s="104"/>
      <c r="D203" s="104"/>
      <c r="E203" s="104"/>
      <c r="F203" s="104"/>
      <c r="G203" s="104"/>
      <c r="H203" s="104"/>
      <c r="I203" s="104"/>
      <c r="J203" s="104"/>
      <c r="K203" s="104"/>
      <c r="L203" s="104"/>
    </row>
    <row r="204" spans="2:12">
      <c r="B204" s="104"/>
      <c r="C204" s="104"/>
      <c r="D204" s="104"/>
      <c r="E204" s="104"/>
      <c r="F204" s="104"/>
      <c r="G204" s="104"/>
      <c r="H204" s="104"/>
      <c r="I204" s="104"/>
      <c r="J204" s="104"/>
      <c r="K204" s="104"/>
      <c r="L204" s="104"/>
    </row>
    <row r="205" spans="2:12">
      <c r="B205" s="104"/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</row>
    <row r="206" spans="2:12">
      <c r="B206" s="104"/>
      <c r="C206" s="104"/>
      <c r="D206" s="104"/>
      <c r="E206" s="104"/>
      <c r="F206" s="104"/>
      <c r="G206" s="104"/>
      <c r="H206" s="104"/>
      <c r="I206" s="104"/>
      <c r="J206" s="104"/>
      <c r="K206" s="104"/>
      <c r="L206" s="104"/>
    </row>
    <row r="207" spans="2:12">
      <c r="B207" s="104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</row>
    <row r="208" spans="2:12">
      <c r="B208" s="104"/>
      <c r="C208" s="104"/>
      <c r="D208" s="104"/>
      <c r="E208" s="104"/>
      <c r="F208" s="104"/>
      <c r="G208" s="104"/>
      <c r="H208" s="104"/>
      <c r="I208" s="104"/>
      <c r="J208" s="104"/>
      <c r="K208" s="104"/>
      <c r="L208" s="104"/>
    </row>
    <row r="209" spans="2:12">
      <c r="B209" s="104"/>
      <c r="C209" s="104"/>
      <c r="D209" s="104"/>
      <c r="E209" s="104"/>
      <c r="F209" s="104"/>
      <c r="G209" s="104"/>
      <c r="H209" s="104"/>
      <c r="I209" s="104"/>
      <c r="J209" s="104"/>
      <c r="K209" s="104"/>
      <c r="L209" s="104"/>
    </row>
    <row r="210" spans="2:12">
      <c r="B210" s="104"/>
      <c r="C210" s="104"/>
      <c r="D210" s="104"/>
      <c r="E210" s="104"/>
      <c r="F210" s="104"/>
      <c r="G210" s="104"/>
      <c r="H210" s="104"/>
      <c r="I210" s="104"/>
      <c r="J210" s="104"/>
      <c r="K210" s="104"/>
      <c r="L210" s="104"/>
    </row>
    <row r="211" spans="2:12">
      <c r="B211" s="104"/>
      <c r="C211" s="104"/>
      <c r="D211" s="104"/>
      <c r="E211" s="104"/>
      <c r="F211" s="104"/>
      <c r="G211" s="104"/>
      <c r="H211" s="104"/>
      <c r="I211" s="104"/>
      <c r="J211" s="104"/>
      <c r="K211" s="104"/>
      <c r="L211" s="104"/>
    </row>
    <row r="212" spans="2:12">
      <c r="B212" s="104"/>
      <c r="C212" s="104"/>
      <c r="D212" s="104"/>
      <c r="E212" s="104"/>
      <c r="F212" s="104"/>
      <c r="G212" s="104"/>
      <c r="H212" s="104"/>
      <c r="I212" s="104"/>
      <c r="J212" s="104"/>
      <c r="K212" s="104"/>
      <c r="L212" s="104"/>
    </row>
    <row r="213" spans="2:12">
      <c r="B213" s="104"/>
      <c r="C213" s="104"/>
      <c r="D213" s="104"/>
      <c r="E213" s="104"/>
      <c r="F213" s="104"/>
      <c r="G213" s="104"/>
      <c r="H213" s="104"/>
      <c r="I213" s="104"/>
      <c r="J213" s="104"/>
      <c r="K213" s="104"/>
      <c r="L213" s="104"/>
    </row>
    <row r="214" spans="2:12">
      <c r="B214" s="104"/>
      <c r="C214" s="104"/>
      <c r="D214" s="104"/>
      <c r="E214" s="104"/>
      <c r="F214" s="104"/>
      <c r="G214" s="104"/>
      <c r="H214" s="104"/>
      <c r="I214" s="104"/>
      <c r="J214" s="104"/>
      <c r="K214" s="104"/>
      <c r="L214" s="104"/>
    </row>
    <row r="215" spans="2:12">
      <c r="B215" s="104"/>
      <c r="C215" s="104"/>
      <c r="D215" s="104"/>
      <c r="E215" s="104"/>
      <c r="F215" s="104"/>
      <c r="G215" s="104"/>
      <c r="H215" s="104"/>
      <c r="I215" s="104"/>
      <c r="J215" s="104"/>
      <c r="K215" s="104"/>
      <c r="L215" s="104"/>
    </row>
    <row r="216" spans="2:12">
      <c r="B216" s="104"/>
      <c r="C216" s="104"/>
      <c r="D216" s="104"/>
      <c r="E216" s="104"/>
      <c r="F216" s="104"/>
      <c r="G216" s="104"/>
      <c r="H216" s="104"/>
      <c r="I216" s="104"/>
      <c r="J216" s="104"/>
      <c r="K216" s="104"/>
      <c r="L216" s="104"/>
    </row>
    <row r="217" spans="2:12">
      <c r="B217" s="104"/>
      <c r="C217" s="104"/>
      <c r="D217" s="104"/>
      <c r="E217" s="104"/>
      <c r="F217" s="104"/>
      <c r="G217" s="104"/>
      <c r="H217" s="104"/>
      <c r="I217" s="104"/>
      <c r="J217" s="104"/>
      <c r="K217" s="104"/>
      <c r="L217" s="104"/>
    </row>
    <row r="218" spans="2:12">
      <c r="B218" s="104"/>
      <c r="C218" s="104"/>
      <c r="D218" s="104"/>
      <c r="E218" s="104"/>
      <c r="F218" s="104"/>
      <c r="G218" s="104"/>
      <c r="H218" s="104"/>
      <c r="I218" s="104"/>
      <c r="J218" s="104"/>
      <c r="K218" s="104"/>
      <c r="L218" s="104"/>
    </row>
    <row r="219" spans="2:12">
      <c r="B219" s="104"/>
      <c r="C219" s="104"/>
      <c r="D219" s="104"/>
      <c r="E219" s="104"/>
      <c r="F219" s="104"/>
      <c r="G219" s="104"/>
      <c r="H219" s="104"/>
      <c r="I219" s="104"/>
      <c r="J219" s="104"/>
      <c r="K219" s="104"/>
      <c r="L219" s="104"/>
    </row>
    <row r="220" spans="2:12">
      <c r="B220" s="104"/>
      <c r="C220" s="104"/>
      <c r="D220" s="104"/>
      <c r="E220" s="104"/>
      <c r="F220" s="104"/>
      <c r="G220" s="104"/>
      <c r="H220" s="104"/>
      <c r="I220" s="104"/>
      <c r="J220" s="104"/>
      <c r="K220" s="104"/>
      <c r="L220" s="104"/>
    </row>
    <row r="221" spans="2:12">
      <c r="B221" s="104"/>
      <c r="C221" s="104"/>
      <c r="D221" s="104"/>
      <c r="E221" s="104"/>
      <c r="F221" s="104"/>
      <c r="G221" s="104"/>
      <c r="H221" s="104"/>
      <c r="I221" s="104"/>
      <c r="J221" s="104"/>
      <c r="K221" s="104"/>
      <c r="L221" s="104"/>
    </row>
    <row r="222" spans="2:12">
      <c r="B222" s="104"/>
      <c r="C222" s="104"/>
      <c r="D222" s="104"/>
      <c r="E222" s="104"/>
      <c r="F222" s="104"/>
      <c r="G222" s="104"/>
      <c r="H222" s="104"/>
      <c r="I222" s="104"/>
      <c r="J222" s="104"/>
      <c r="K222" s="104"/>
      <c r="L222" s="104"/>
    </row>
    <row r="223" spans="2:12">
      <c r="B223" s="104"/>
      <c r="C223" s="104"/>
      <c r="D223" s="104"/>
      <c r="E223" s="104"/>
      <c r="F223" s="104"/>
      <c r="G223" s="104"/>
      <c r="H223" s="104"/>
      <c r="I223" s="104"/>
      <c r="J223" s="104"/>
      <c r="K223" s="104"/>
      <c r="L223" s="104"/>
    </row>
    <row r="224" spans="2:12">
      <c r="B224" s="104"/>
      <c r="C224" s="104"/>
      <c r="D224" s="104"/>
      <c r="E224" s="104"/>
      <c r="F224" s="104"/>
      <c r="G224" s="104"/>
      <c r="H224" s="104"/>
      <c r="I224" s="104"/>
      <c r="J224" s="104"/>
      <c r="K224" s="104"/>
      <c r="L224" s="104"/>
    </row>
    <row r="225" spans="2:12">
      <c r="B225" s="104"/>
      <c r="C225" s="104"/>
      <c r="D225" s="104"/>
      <c r="E225" s="104"/>
      <c r="F225" s="104"/>
      <c r="G225" s="104"/>
      <c r="H225" s="104"/>
      <c r="I225" s="104"/>
      <c r="J225" s="104"/>
      <c r="K225" s="104"/>
      <c r="L225" s="104"/>
    </row>
    <row r="226" spans="2:12">
      <c r="B226" s="104"/>
      <c r="C226" s="104"/>
      <c r="D226" s="104"/>
      <c r="E226" s="104"/>
      <c r="F226" s="104"/>
      <c r="G226" s="104"/>
      <c r="H226" s="104"/>
      <c r="I226" s="104"/>
      <c r="J226" s="104"/>
      <c r="K226" s="104"/>
      <c r="L226" s="104"/>
    </row>
    <row r="227" spans="2:12">
      <c r="B227" s="104"/>
      <c r="C227" s="104"/>
      <c r="D227" s="104"/>
      <c r="E227" s="104"/>
      <c r="F227" s="104"/>
      <c r="G227" s="104"/>
      <c r="H227" s="104"/>
      <c r="I227" s="104"/>
      <c r="J227" s="104"/>
      <c r="K227" s="104"/>
      <c r="L227" s="104"/>
    </row>
    <row r="228" spans="2:12">
      <c r="B228" s="104"/>
      <c r="C228" s="104"/>
      <c r="D228" s="104"/>
      <c r="E228" s="104"/>
      <c r="F228" s="104"/>
      <c r="G228" s="104"/>
      <c r="H228" s="104"/>
      <c r="I228" s="104"/>
      <c r="J228" s="104"/>
      <c r="K228" s="104"/>
      <c r="L228" s="104"/>
    </row>
    <row r="229" spans="2:12">
      <c r="B229" s="104"/>
      <c r="C229" s="104"/>
      <c r="D229" s="104"/>
      <c r="E229" s="104"/>
      <c r="F229" s="104"/>
      <c r="G229" s="104"/>
      <c r="H229" s="104"/>
      <c r="I229" s="104"/>
      <c r="J229" s="104"/>
      <c r="K229" s="104"/>
      <c r="L229" s="104"/>
    </row>
    <row r="230" spans="2:12">
      <c r="B230" s="104"/>
      <c r="C230" s="104"/>
      <c r="D230" s="104"/>
      <c r="E230" s="104"/>
      <c r="F230" s="104"/>
      <c r="G230" s="104"/>
      <c r="H230" s="104"/>
      <c r="I230" s="104"/>
      <c r="J230" s="104"/>
      <c r="K230" s="104"/>
      <c r="L230" s="104"/>
    </row>
    <row r="231" spans="2:12">
      <c r="B231" s="104"/>
      <c r="C231" s="104"/>
      <c r="D231" s="104"/>
      <c r="E231" s="104"/>
      <c r="F231" s="104"/>
      <c r="G231" s="104"/>
      <c r="H231" s="104"/>
      <c r="I231" s="104"/>
      <c r="J231" s="104"/>
      <c r="K231" s="104"/>
      <c r="L231" s="104"/>
    </row>
    <row r="232" spans="2:12">
      <c r="B232" s="104"/>
      <c r="C232" s="104"/>
      <c r="D232" s="104"/>
      <c r="E232" s="104"/>
      <c r="F232" s="104"/>
      <c r="G232" s="104"/>
      <c r="H232" s="104"/>
      <c r="I232" s="104"/>
      <c r="J232" s="104"/>
      <c r="K232" s="104"/>
      <c r="L232" s="104"/>
    </row>
    <row r="233" spans="2:12">
      <c r="B233" s="104"/>
      <c r="C233" s="104"/>
      <c r="D233" s="104"/>
      <c r="E233" s="104"/>
      <c r="F233" s="104"/>
      <c r="G233" s="104"/>
      <c r="H233" s="104"/>
      <c r="I233" s="104"/>
      <c r="J233" s="104"/>
      <c r="K233" s="104"/>
      <c r="L233" s="104"/>
    </row>
    <row r="234" spans="2:12">
      <c r="B234" s="104"/>
      <c r="C234" s="104"/>
      <c r="D234" s="104"/>
      <c r="E234" s="104"/>
      <c r="F234" s="104"/>
      <c r="G234" s="104"/>
      <c r="H234" s="104"/>
      <c r="I234" s="104"/>
      <c r="J234" s="104"/>
      <c r="K234" s="104"/>
      <c r="L234" s="104"/>
    </row>
    <row r="235" spans="2:12">
      <c r="B235" s="104"/>
      <c r="C235" s="104"/>
      <c r="D235" s="104"/>
      <c r="E235" s="104"/>
      <c r="F235" s="104"/>
      <c r="G235" s="104"/>
      <c r="H235" s="104"/>
      <c r="I235" s="104"/>
      <c r="J235" s="104"/>
      <c r="K235" s="104"/>
      <c r="L235" s="104"/>
    </row>
    <row r="236" spans="2:12">
      <c r="B236" s="104"/>
      <c r="C236" s="104"/>
      <c r="D236" s="104"/>
      <c r="E236" s="104"/>
      <c r="F236" s="104"/>
      <c r="G236" s="104"/>
      <c r="H236" s="104"/>
      <c r="I236" s="104"/>
      <c r="J236" s="104"/>
      <c r="K236" s="104"/>
      <c r="L236" s="104"/>
    </row>
    <row r="237" spans="2:12">
      <c r="B237" s="104"/>
      <c r="C237" s="104"/>
      <c r="D237" s="104"/>
      <c r="E237" s="104"/>
      <c r="F237" s="104"/>
      <c r="G237" s="104"/>
      <c r="H237" s="104"/>
      <c r="I237" s="104"/>
      <c r="J237" s="104"/>
      <c r="K237" s="104"/>
      <c r="L237" s="104"/>
    </row>
    <row r="238" spans="2:12">
      <c r="B238" s="104"/>
      <c r="C238" s="104"/>
      <c r="D238" s="104"/>
      <c r="E238" s="104"/>
      <c r="F238" s="104"/>
      <c r="G238" s="104"/>
      <c r="H238" s="104"/>
      <c r="I238" s="104"/>
      <c r="J238" s="104"/>
      <c r="K238" s="104"/>
      <c r="L238" s="104"/>
    </row>
    <row r="239" spans="2:12">
      <c r="B239" s="104"/>
      <c r="C239" s="104"/>
      <c r="D239" s="104"/>
      <c r="E239" s="104"/>
      <c r="F239" s="104"/>
      <c r="G239" s="104"/>
      <c r="H239" s="104"/>
      <c r="I239" s="104"/>
      <c r="J239" s="104"/>
      <c r="K239" s="104"/>
      <c r="L239" s="104"/>
    </row>
    <row r="240" spans="2:12">
      <c r="B240" s="104"/>
      <c r="C240" s="104"/>
      <c r="D240" s="104"/>
      <c r="E240" s="104"/>
      <c r="F240" s="104"/>
      <c r="G240" s="104"/>
      <c r="H240" s="104"/>
      <c r="I240" s="104"/>
      <c r="J240" s="104"/>
      <c r="K240" s="104"/>
      <c r="L240" s="104"/>
    </row>
    <row r="241" spans="2:12">
      <c r="B241" s="104"/>
      <c r="C241" s="104"/>
      <c r="D241" s="104"/>
      <c r="E241" s="104"/>
      <c r="F241" s="104"/>
      <c r="G241" s="104"/>
      <c r="H241" s="104"/>
      <c r="I241" s="104"/>
      <c r="J241" s="104"/>
      <c r="K241" s="104"/>
      <c r="L241" s="104"/>
    </row>
    <row r="242" spans="2:12">
      <c r="B242" s="104"/>
      <c r="C242" s="104"/>
      <c r="D242" s="104"/>
      <c r="E242" s="104"/>
      <c r="F242" s="104"/>
      <c r="G242" s="104"/>
      <c r="H242" s="104"/>
      <c r="I242" s="104"/>
      <c r="J242" s="104"/>
      <c r="K242" s="104"/>
      <c r="L242" s="104"/>
    </row>
    <row r="243" spans="2:12">
      <c r="B243" s="104"/>
      <c r="C243" s="104"/>
      <c r="D243" s="104"/>
      <c r="E243" s="104"/>
      <c r="F243" s="104"/>
      <c r="G243" s="104"/>
      <c r="H243" s="104"/>
      <c r="I243" s="104"/>
      <c r="J243" s="104"/>
      <c r="K243" s="104"/>
      <c r="L243" s="104"/>
    </row>
    <row r="244" spans="2:12">
      <c r="B244" s="104"/>
      <c r="C244" s="104"/>
      <c r="D244" s="104"/>
      <c r="E244" s="104"/>
      <c r="F244" s="104"/>
      <c r="G244" s="104"/>
      <c r="H244" s="104"/>
      <c r="I244" s="104"/>
      <c r="J244" s="104"/>
      <c r="K244" s="104"/>
      <c r="L244" s="104"/>
    </row>
    <row r="245" spans="2:12">
      <c r="B245" s="104"/>
      <c r="C245" s="104"/>
      <c r="D245" s="104"/>
      <c r="E245" s="104"/>
      <c r="F245" s="104"/>
      <c r="G245" s="104"/>
      <c r="H245" s="104"/>
      <c r="I245" s="104"/>
      <c r="J245" s="104"/>
      <c r="K245" s="104"/>
      <c r="L245" s="104"/>
    </row>
    <row r="246" spans="2:12">
      <c r="B246" s="104"/>
      <c r="C246" s="104"/>
      <c r="D246" s="104"/>
      <c r="E246" s="104"/>
      <c r="F246" s="104"/>
      <c r="G246" s="104"/>
      <c r="H246" s="104"/>
      <c r="I246" s="104"/>
      <c r="J246" s="104"/>
      <c r="K246" s="104"/>
      <c r="L246" s="104"/>
    </row>
    <row r="247" spans="2:12">
      <c r="B247" s="104"/>
      <c r="C247" s="104"/>
      <c r="D247" s="104"/>
      <c r="E247" s="104"/>
      <c r="F247" s="104"/>
      <c r="G247" s="104"/>
      <c r="H247" s="104"/>
      <c r="I247" s="104"/>
      <c r="J247" s="104"/>
      <c r="K247" s="104"/>
      <c r="L247" s="104"/>
    </row>
    <row r="248" spans="2:12">
      <c r="B248" s="104"/>
      <c r="C248" s="104"/>
      <c r="D248" s="104"/>
      <c r="E248" s="104"/>
      <c r="F248" s="104"/>
      <c r="G248" s="104"/>
      <c r="H248" s="104"/>
      <c r="I248" s="104"/>
      <c r="J248" s="104"/>
      <c r="K248" s="104"/>
      <c r="L248" s="104"/>
    </row>
    <row r="249" spans="2:12">
      <c r="B249" s="104"/>
      <c r="C249" s="104"/>
      <c r="D249" s="104"/>
      <c r="E249" s="104"/>
      <c r="F249" s="104"/>
      <c r="G249" s="104"/>
      <c r="H249" s="104"/>
      <c r="I249" s="104"/>
      <c r="J249" s="104"/>
      <c r="K249" s="104"/>
      <c r="L249" s="104"/>
    </row>
    <row r="250" spans="2:12">
      <c r="B250" s="104"/>
      <c r="C250" s="104"/>
      <c r="D250" s="104"/>
      <c r="E250" s="104"/>
      <c r="F250" s="104"/>
      <c r="G250" s="104"/>
      <c r="H250" s="104"/>
      <c r="I250" s="104"/>
      <c r="J250" s="104"/>
      <c r="K250" s="104"/>
      <c r="L250" s="104"/>
    </row>
    <row r="251" spans="2:12">
      <c r="B251" s="104"/>
      <c r="C251" s="104"/>
      <c r="D251" s="104"/>
      <c r="E251" s="104"/>
      <c r="F251" s="104"/>
      <c r="G251" s="104"/>
      <c r="H251" s="104"/>
      <c r="I251" s="104"/>
      <c r="J251" s="104"/>
      <c r="K251" s="104"/>
      <c r="L251" s="104"/>
    </row>
    <row r="252" spans="2:12">
      <c r="B252" s="104"/>
      <c r="C252" s="104"/>
      <c r="D252" s="104"/>
      <c r="E252" s="104"/>
      <c r="F252" s="104"/>
      <c r="G252" s="104"/>
      <c r="H252" s="104"/>
      <c r="I252" s="104"/>
      <c r="J252" s="104"/>
      <c r="K252" s="104"/>
      <c r="L252" s="104"/>
    </row>
    <row r="253" spans="2:12">
      <c r="B253" s="104"/>
      <c r="C253" s="104"/>
      <c r="D253" s="104"/>
      <c r="E253" s="104"/>
      <c r="F253" s="104"/>
      <c r="G253" s="104"/>
      <c r="H253" s="104"/>
      <c r="I253" s="104"/>
      <c r="J253" s="104"/>
      <c r="K253" s="104"/>
      <c r="L253" s="104"/>
    </row>
    <row r="254" spans="2:12">
      <c r="B254" s="104"/>
      <c r="C254" s="104"/>
      <c r="D254" s="104"/>
      <c r="E254" s="104"/>
      <c r="F254" s="104"/>
      <c r="G254" s="104"/>
      <c r="H254" s="104"/>
      <c r="I254" s="104"/>
      <c r="J254" s="104"/>
      <c r="K254" s="104"/>
      <c r="L254" s="104"/>
    </row>
    <row r="255" spans="2:12">
      <c r="B255" s="104"/>
      <c r="C255" s="104"/>
      <c r="D255" s="104"/>
      <c r="E255" s="104"/>
      <c r="F255" s="104"/>
      <c r="G255" s="104"/>
      <c r="H255" s="104"/>
      <c r="I255" s="104"/>
      <c r="J255" s="104"/>
      <c r="K255" s="104"/>
      <c r="L255" s="104"/>
    </row>
    <row r="256" spans="2:12">
      <c r="B256" s="104"/>
      <c r="C256" s="104"/>
      <c r="D256" s="104"/>
      <c r="E256" s="104"/>
      <c r="F256" s="104"/>
      <c r="G256" s="104"/>
      <c r="H256" s="104"/>
      <c r="I256" s="104"/>
      <c r="J256" s="104"/>
      <c r="K256" s="104"/>
      <c r="L256" s="104"/>
    </row>
    <row r="257" spans="2:12">
      <c r="B257" s="104"/>
      <c r="C257" s="104"/>
      <c r="D257" s="104"/>
      <c r="E257" s="104"/>
      <c r="F257" s="104"/>
      <c r="G257" s="104"/>
      <c r="H257" s="104"/>
      <c r="I257" s="104"/>
      <c r="J257" s="104"/>
      <c r="K257" s="104"/>
      <c r="L257" s="104"/>
    </row>
    <row r="258" spans="2:12">
      <c r="B258" s="104"/>
      <c r="C258" s="104"/>
      <c r="D258" s="104"/>
      <c r="E258" s="104"/>
      <c r="F258" s="104"/>
      <c r="G258" s="104"/>
      <c r="H258" s="104"/>
      <c r="I258" s="104"/>
      <c r="J258" s="104"/>
      <c r="K258" s="104"/>
      <c r="L258" s="104"/>
    </row>
    <row r="259" spans="2:12">
      <c r="B259" s="104"/>
      <c r="C259" s="104"/>
      <c r="D259" s="104"/>
      <c r="E259" s="104"/>
      <c r="F259" s="104"/>
      <c r="G259" s="104"/>
      <c r="H259" s="104"/>
      <c r="I259" s="104"/>
      <c r="J259" s="104"/>
      <c r="K259" s="104"/>
      <c r="L259" s="104"/>
    </row>
    <row r="260" spans="2:12">
      <c r="B260" s="104"/>
      <c r="C260" s="104"/>
      <c r="D260" s="104"/>
      <c r="E260" s="104"/>
      <c r="F260" s="104"/>
      <c r="G260" s="104"/>
      <c r="H260" s="104"/>
      <c r="I260" s="104"/>
      <c r="J260" s="104"/>
      <c r="K260" s="104"/>
      <c r="L260" s="104"/>
    </row>
    <row r="261" spans="2:12">
      <c r="B261" s="104"/>
      <c r="C261" s="104"/>
      <c r="D261" s="104"/>
      <c r="E261" s="104"/>
      <c r="F261" s="104"/>
      <c r="G261" s="104"/>
      <c r="H261" s="104"/>
      <c r="I261" s="104"/>
      <c r="J261" s="104"/>
      <c r="K261" s="104"/>
      <c r="L261" s="104"/>
    </row>
    <row r="262" spans="2:12">
      <c r="B262" s="104"/>
      <c r="C262" s="104"/>
      <c r="D262" s="104"/>
      <c r="E262" s="104"/>
      <c r="F262" s="104"/>
      <c r="G262" s="104"/>
      <c r="H262" s="104"/>
      <c r="I262" s="104"/>
      <c r="J262" s="104"/>
      <c r="K262" s="104"/>
      <c r="L262" s="104"/>
    </row>
    <row r="263" spans="2:12"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</row>
    <row r="264" spans="2:12">
      <c r="B264" s="104"/>
      <c r="C264" s="104"/>
      <c r="D264" s="104"/>
      <c r="E264" s="104"/>
      <c r="F264" s="104"/>
      <c r="G264" s="104"/>
      <c r="H264" s="104"/>
      <c r="I264" s="104"/>
      <c r="J264" s="104"/>
      <c r="K264" s="104"/>
      <c r="L264" s="104"/>
    </row>
    <row r="265" spans="2:12">
      <c r="B265" s="104"/>
      <c r="C265" s="104"/>
      <c r="D265" s="104"/>
      <c r="E265" s="104"/>
      <c r="F265" s="104"/>
      <c r="G265" s="104"/>
      <c r="H265" s="104"/>
      <c r="I265" s="104"/>
      <c r="J265" s="104"/>
      <c r="K265" s="104"/>
      <c r="L265" s="104"/>
    </row>
    <row r="266" spans="2:12">
      <c r="B266" s="104"/>
      <c r="C266" s="104"/>
      <c r="D266" s="104"/>
      <c r="E266" s="104"/>
      <c r="F266" s="104"/>
      <c r="G266" s="104"/>
      <c r="H266" s="104"/>
      <c r="I266" s="104"/>
      <c r="J266" s="104"/>
      <c r="K266" s="104"/>
      <c r="L266" s="104"/>
    </row>
    <row r="267" spans="2:12">
      <c r="B267" s="104"/>
      <c r="C267" s="104"/>
      <c r="D267" s="104"/>
      <c r="E267" s="104"/>
      <c r="F267" s="104"/>
      <c r="G267" s="104"/>
      <c r="H267" s="104"/>
      <c r="I267" s="104"/>
      <c r="J267" s="104"/>
      <c r="K267" s="104"/>
      <c r="L267" s="104"/>
    </row>
    <row r="268" spans="2:12">
      <c r="B268" s="104"/>
      <c r="C268" s="104"/>
      <c r="D268" s="104"/>
      <c r="E268" s="104"/>
      <c r="F268" s="104"/>
      <c r="G268" s="104"/>
      <c r="H268" s="104"/>
      <c r="I268" s="104"/>
      <c r="J268" s="104"/>
      <c r="K268" s="104"/>
      <c r="L268" s="104"/>
    </row>
    <row r="269" spans="2:12">
      <c r="B269" s="104"/>
      <c r="C269" s="104"/>
      <c r="D269" s="104"/>
      <c r="E269" s="104"/>
      <c r="F269" s="104"/>
      <c r="G269" s="104"/>
      <c r="H269" s="104"/>
      <c r="I269" s="104"/>
      <c r="J269" s="104"/>
      <c r="K269" s="104"/>
      <c r="L269" s="104"/>
    </row>
    <row r="270" spans="2:12">
      <c r="B270" s="104"/>
      <c r="C270" s="104"/>
      <c r="D270" s="104"/>
      <c r="E270" s="104"/>
      <c r="F270" s="104"/>
      <c r="G270" s="104"/>
      <c r="H270" s="104"/>
      <c r="I270" s="104"/>
      <c r="J270" s="104"/>
      <c r="K270" s="104"/>
      <c r="L270" s="104"/>
    </row>
    <row r="271" spans="2:12">
      <c r="B271" s="104"/>
      <c r="C271" s="104"/>
      <c r="D271" s="104"/>
      <c r="E271" s="104"/>
      <c r="F271" s="104"/>
      <c r="G271" s="104"/>
      <c r="H271" s="104"/>
      <c r="I271" s="104"/>
      <c r="J271" s="104"/>
      <c r="K271" s="104"/>
      <c r="L271" s="104"/>
    </row>
    <row r="272" spans="2:12">
      <c r="B272" s="104"/>
      <c r="C272" s="104"/>
      <c r="D272" s="104"/>
      <c r="E272" s="104"/>
      <c r="F272" s="104"/>
      <c r="G272" s="104"/>
      <c r="H272" s="104"/>
      <c r="I272" s="104"/>
      <c r="J272" s="104"/>
      <c r="K272" s="104"/>
      <c r="L272" s="104"/>
    </row>
    <row r="273" spans="2:12">
      <c r="B273" s="104"/>
      <c r="C273" s="104"/>
      <c r="D273" s="104"/>
      <c r="E273" s="104"/>
      <c r="F273" s="104"/>
      <c r="G273" s="104"/>
      <c r="H273" s="104"/>
      <c r="I273" s="104"/>
      <c r="J273" s="104"/>
      <c r="K273" s="104"/>
      <c r="L273" s="104"/>
    </row>
    <row r="274" spans="2:12">
      <c r="B274" s="104"/>
      <c r="C274" s="104"/>
      <c r="D274" s="104"/>
      <c r="E274" s="104"/>
      <c r="F274" s="104"/>
      <c r="G274" s="104"/>
      <c r="H274" s="104"/>
      <c r="I274" s="104"/>
      <c r="J274" s="104"/>
      <c r="K274" s="104"/>
      <c r="L274" s="104"/>
    </row>
    <row r="275" spans="2:12"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</row>
    <row r="276" spans="2:12">
      <c r="B276" s="104"/>
      <c r="C276" s="104"/>
      <c r="D276" s="104"/>
      <c r="E276" s="104"/>
      <c r="F276" s="104"/>
      <c r="G276" s="104"/>
      <c r="H276" s="104"/>
      <c r="I276" s="104"/>
      <c r="J276" s="104"/>
      <c r="K276" s="104"/>
      <c r="L276" s="104"/>
    </row>
    <row r="277" spans="2:12">
      <c r="B277" s="104"/>
      <c r="C277" s="104"/>
      <c r="D277" s="104"/>
      <c r="E277" s="104"/>
      <c r="F277" s="104"/>
      <c r="G277" s="104"/>
      <c r="H277" s="104"/>
      <c r="I277" s="104"/>
      <c r="J277" s="104"/>
      <c r="K277" s="104"/>
      <c r="L277" s="104"/>
    </row>
    <row r="278" spans="2:12">
      <c r="B278" s="104"/>
      <c r="C278" s="104"/>
      <c r="D278" s="104"/>
      <c r="E278" s="104"/>
      <c r="F278" s="104"/>
      <c r="G278" s="104"/>
      <c r="H278" s="104"/>
      <c r="I278" s="104"/>
      <c r="J278" s="104"/>
      <c r="K278" s="104"/>
      <c r="L278" s="104"/>
    </row>
    <row r="279" spans="2:12">
      <c r="B279" s="104"/>
      <c r="C279" s="104"/>
      <c r="D279" s="104"/>
      <c r="E279" s="104"/>
      <c r="F279" s="104"/>
      <c r="G279" s="104"/>
      <c r="H279" s="104"/>
      <c r="I279" s="104"/>
      <c r="J279" s="104"/>
      <c r="K279" s="104"/>
      <c r="L279" s="104"/>
    </row>
    <row r="280" spans="2:12">
      <c r="B280" s="104"/>
      <c r="C280" s="104"/>
      <c r="D280" s="104"/>
      <c r="E280" s="104"/>
      <c r="F280" s="104"/>
      <c r="G280" s="104"/>
      <c r="H280" s="104"/>
      <c r="I280" s="104"/>
      <c r="J280" s="104"/>
      <c r="K280" s="104"/>
      <c r="L280" s="104"/>
    </row>
    <row r="281" spans="2:12">
      <c r="B281" s="104"/>
      <c r="C281" s="104"/>
      <c r="D281" s="104"/>
      <c r="E281" s="104"/>
      <c r="F281" s="104"/>
      <c r="G281" s="104"/>
      <c r="H281" s="104"/>
      <c r="I281" s="104"/>
      <c r="J281" s="104"/>
      <c r="K281" s="104"/>
      <c r="L281" s="104"/>
    </row>
    <row r="282" spans="2:12">
      <c r="B282" s="104"/>
      <c r="C282" s="104"/>
      <c r="D282" s="104"/>
      <c r="E282" s="104"/>
      <c r="F282" s="104"/>
      <c r="G282" s="104"/>
      <c r="H282" s="104"/>
      <c r="I282" s="104"/>
      <c r="J282" s="104"/>
      <c r="K282" s="104"/>
      <c r="L282" s="104"/>
    </row>
    <row r="283" spans="2:12">
      <c r="B283" s="104"/>
      <c r="C283" s="104"/>
      <c r="D283" s="104"/>
      <c r="E283" s="104"/>
      <c r="F283" s="104"/>
      <c r="G283" s="104"/>
      <c r="H283" s="104"/>
      <c r="I283" s="104"/>
      <c r="J283" s="104"/>
      <c r="K283" s="104"/>
      <c r="L283" s="104"/>
    </row>
    <row r="284" spans="2:12">
      <c r="B284" s="104"/>
      <c r="C284" s="104"/>
      <c r="D284" s="104"/>
      <c r="E284" s="104"/>
      <c r="F284" s="104"/>
      <c r="G284" s="104"/>
      <c r="H284" s="104"/>
      <c r="I284" s="104"/>
      <c r="J284" s="104"/>
      <c r="K284" s="104"/>
      <c r="L284" s="104"/>
    </row>
    <row r="285" spans="2:12">
      <c r="B285" s="104"/>
      <c r="C285" s="104"/>
      <c r="D285" s="104"/>
      <c r="E285" s="104"/>
      <c r="F285" s="104"/>
      <c r="G285" s="104"/>
      <c r="H285" s="104"/>
      <c r="I285" s="104"/>
      <c r="J285" s="104"/>
      <c r="K285" s="104"/>
      <c r="L285" s="104"/>
    </row>
    <row r="286" spans="2:12">
      <c r="B286" s="104"/>
      <c r="C286" s="104"/>
      <c r="D286" s="104"/>
      <c r="E286" s="104"/>
      <c r="F286" s="104"/>
      <c r="G286" s="104"/>
      <c r="H286" s="104"/>
      <c r="I286" s="104"/>
      <c r="J286" s="104"/>
      <c r="K286" s="104"/>
      <c r="L286" s="104"/>
    </row>
    <row r="287" spans="2:12">
      <c r="B287" s="104"/>
      <c r="C287" s="104"/>
      <c r="D287" s="104"/>
      <c r="E287" s="104"/>
      <c r="F287" s="104"/>
      <c r="G287" s="104"/>
      <c r="H287" s="104"/>
      <c r="I287" s="104"/>
      <c r="J287" s="104"/>
      <c r="K287" s="104"/>
      <c r="L287" s="104"/>
    </row>
    <row r="288" spans="2:12">
      <c r="B288" s="104"/>
      <c r="C288" s="104"/>
      <c r="D288" s="104"/>
      <c r="E288" s="104"/>
      <c r="F288" s="104"/>
      <c r="G288" s="104"/>
      <c r="H288" s="104"/>
      <c r="I288" s="104"/>
      <c r="J288" s="104"/>
      <c r="K288" s="104"/>
      <c r="L288" s="104"/>
    </row>
    <row r="289" spans="2:12">
      <c r="B289" s="104"/>
      <c r="C289" s="104"/>
      <c r="D289" s="104"/>
      <c r="E289" s="104"/>
      <c r="F289" s="104"/>
      <c r="G289" s="104"/>
      <c r="H289" s="104"/>
      <c r="I289" s="104"/>
      <c r="J289" s="104"/>
      <c r="K289" s="104"/>
      <c r="L289" s="104"/>
    </row>
    <row r="290" spans="2:12">
      <c r="B290" s="104"/>
      <c r="C290" s="104"/>
      <c r="D290" s="104"/>
      <c r="E290" s="104"/>
      <c r="F290" s="104"/>
      <c r="G290" s="104"/>
      <c r="H290" s="104"/>
      <c r="I290" s="104"/>
      <c r="J290" s="104"/>
      <c r="K290" s="104"/>
      <c r="L290" s="104"/>
    </row>
    <row r="291" spans="2:12">
      <c r="B291" s="104"/>
      <c r="C291" s="104"/>
      <c r="D291" s="104"/>
      <c r="E291" s="104"/>
      <c r="F291" s="104"/>
      <c r="G291" s="104"/>
      <c r="H291" s="104"/>
      <c r="I291" s="104"/>
      <c r="J291" s="104"/>
      <c r="K291" s="104"/>
      <c r="L291" s="104"/>
    </row>
    <row r="292" spans="2:12">
      <c r="B292" s="104"/>
      <c r="C292" s="104"/>
      <c r="D292" s="104"/>
      <c r="E292" s="104"/>
      <c r="F292" s="104"/>
      <c r="G292" s="104"/>
      <c r="H292" s="104"/>
      <c r="I292" s="104"/>
      <c r="J292" s="104"/>
      <c r="K292" s="104"/>
      <c r="L292" s="104"/>
    </row>
    <row r="293" spans="2:12">
      <c r="B293" s="104"/>
      <c r="C293" s="104"/>
      <c r="D293" s="104"/>
      <c r="E293" s="104"/>
      <c r="F293" s="104"/>
      <c r="G293" s="104"/>
      <c r="H293" s="104"/>
      <c r="I293" s="104"/>
      <c r="J293" s="104"/>
      <c r="K293" s="104"/>
      <c r="L293" s="104"/>
    </row>
    <row r="294" spans="2:12">
      <c r="B294" s="104"/>
      <c r="C294" s="104"/>
      <c r="D294" s="104"/>
      <c r="E294" s="104"/>
      <c r="F294" s="104"/>
      <c r="G294" s="104"/>
      <c r="H294" s="104"/>
      <c r="I294" s="104"/>
      <c r="J294" s="104"/>
      <c r="K294" s="104"/>
      <c r="L294" s="104"/>
    </row>
    <row r="295" spans="2:12">
      <c r="B295" s="104"/>
      <c r="C295" s="104"/>
      <c r="D295" s="104"/>
      <c r="E295" s="104"/>
      <c r="F295" s="104"/>
      <c r="G295" s="104"/>
      <c r="H295" s="104"/>
      <c r="I295" s="104"/>
      <c r="J295" s="104"/>
      <c r="K295" s="104"/>
      <c r="L295" s="104"/>
    </row>
    <row r="296" spans="2:12">
      <c r="B296" s="104"/>
      <c r="C296" s="104"/>
      <c r="D296" s="104"/>
      <c r="E296" s="104"/>
      <c r="F296" s="104"/>
      <c r="G296" s="104"/>
      <c r="H296" s="104"/>
      <c r="I296" s="104"/>
      <c r="J296" s="104"/>
      <c r="K296" s="104"/>
      <c r="L296" s="104"/>
    </row>
    <row r="297" spans="2:12">
      <c r="B297" s="104"/>
      <c r="C297" s="104"/>
      <c r="D297" s="104"/>
      <c r="E297" s="104"/>
      <c r="F297" s="104"/>
      <c r="G297" s="104"/>
      <c r="H297" s="104"/>
      <c r="I297" s="104"/>
      <c r="J297" s="104"/>
      <c r="K297" s="104"/>
      <c r="L297" s="104"/>
    </row>
    <row r="298" spans="2:12">
      <c r="B298" s="104"/>
      <c r="C298" s="104"/>
      <c r="D298" s="104"/>
      <c r="E298" s="104"/>
      <c r="F298" s="104"/>
      <c r="G298" s="104"/>
      <c r="H298" s="104"/>
      <c r="I298" s="104"/>
      <c r="J298" s="104"/>
      <c r="K298" s="104"/>
      <c r="L298" s="104"/>
    </row>
    <row r="299" spans="2:12">
      <c r="B299" s="104"/>
      <c r="C299" s="104"/>
      <c r="D299" s="104"/>
      <c r="E299" s="104"/>
      <c r="F299" s="104"/>
      <c r="G299" s="104"/>
      <c r="H299" s="104"/>
      <c r="I299" s="104"/>
      <c r="J299" s="104"/>
      <c r="K299" s="104"/>
      <c r="L299" s="104"/>
    </row>
    <row r="300" spans="2:12">
      <c r="B300" s="104"/>
      <c r="C300" s="104"/>
      <c r="D300" s="104"/>
      <c r="E300" s="104"/>
      <c r="F300" s="104"/>
      <c r="G300" s="104"/>
      <c r="H300" s="104"/>
      <c r="I300" s="104"/>
      <c r="J300" s="104"/>
      <c r="K300" s="104"/>
      <c r="L300" s="104"/>
    </row>
    <row r="301" spans="2:12">
      <c r="B301" s="104"/>
      <c r="C301" s="104"/>
      <c r="D301" s="104"/>
      <c r="E301" s="104"/>
      <c r="F301" s="104"/>
      <c r="G301" s="104"/>
      <c r="H301" s="104"/>
      <c r="I301" s="104"/>
      <c r="J301" s="104"/>
      <c r="K301" s="104"/>
      <c r="L301" s="104"/>
    </row>
    <row r="302" spans="2:12">
      <c r="B302" s="104"/>
      <c r="C302" s="104"/>
      <c r="D302" s="104"/>
      <c r="E302" s="104"/>
      <c r="F302" s="104"/>
      <c r="G302" s="104"/>
      <c r="H302" s="104"/>
      <c r="I302" s="104"/>
      <c r="J302" s="104"/>
      <c r="K302" s="104"/>
      <c r="L302" s="104"/>
    </row>
    <row r="303" spans="2:12">
      <c r="B303" s="104"/>
      <c r="C303" s="104"/>
      <c r="D303" s="104"/>
      <c r="E303" s="104"/>
      <c r="F303" s="104"/>
      <c r="G303" s="104"/>
      <c r="H303" s="104"/>
      <c r="I303" s="104"/>
      <c r="J303" s="104"/>
      <c r="K303" s="104"/>
      <c r="L303" s="104"/>
    </row>
    <row r="304" spans="2:12">
      <c r="B304" s="104"/>
      <c r="C304" s="104"/>
      <c r="D304" s="104"/>
      <c r="E304" s="104"/>
      <c r="F304" s="104"/>
      <c r="G304" s="104"/>
      <c r="H304" s="104"/>
      <c r="I304" s="104"/>
      <c r="J304" s="104"/>
      <c r="K304" s="104"/>
      <c r="L304" s="104"/>
    </row>
    <row r="305" spans="2:12">
      <c r="B305" s="104"/>
      <c r="C305" s="104"/>
      <c r="D305" s="104"/>
      <c r="E305" s="104"/>
      <c r="F305" s="104"/>
      <c r="G305" s="104"/>
      <c r="H305" s="104"/>
      <c r="I305" s="104"/>
      <c r="J305" s="104"/>
      <c r="K305" s="104"/>
      <c r="L305" s="104"/>
    </row>
    <row r="306" spans="2:12">
      <c r="B306" s="104"/>
      <c r="C306" s="104"/>
      <c r="D306" s="104"/>
      <c r="E306" s="104"/>
      <c r="F306" s="104"/>
      <c r="G306" s="104"/>
      <c r="H306" s="104"/>
      <c r="I306" s="104"/>
      <c r="J306" s="104"/>
      <c r="K306" s="104"/>
      <c r="L306" s="104"/>
    </row>
    <row r="307" spans="2:12">
      <c r="B307" s="104"/>
      <c r="C307" s="104"/>
      <c r="D307" s="104"/>
      <c r="E307" s="104"/>
      <c r="F307" s="104"/>
      <c r="G307" s="104"/>
      <c r="H307" s="104"/>
      <c r="I307" s="104"/>
      <c r="J307" s="104"/>
      <c r="K307" s="104"/>
      <c r="L307" s="104"/>
    </row>
    <row r="308" spans="2:12">
      <c r="B308" s="104"/>
      <c r="C308" s="104"/>
      <c r="D308" s="104"/>
      <c r="E308" s="104"/>
      <c r="F308" s="104"/>
      <c r="G308" s="104"/>
      <c r="H308" s="104"/>
      <c r="I308" s="104"/>
      <c r="J308" s="104"/>
      <c r="K308" s="104"/>
      <c r="L308" s="104"/>
    </row>
    <row r="309" spans="2:12">
      <c r="B309" s="104"/>
      <c r="C309" s="104"/>
      <c r="D309" s="104"/>
      <c r="E309" s="104"/>
      <c r="F309" s="104"/>
      <c r="G309" s="104"/>
      <c r="H309" s="104"/>
      <c r="I309" s="104"/>
      <c r="J309" s="104"/>
      <c r="K309" s="104"/>
      <c r="L309" s="104"/>
    </row>
    <row r="310" spans="2:12">
      <c r="B310" s="104"/>
      <c r="C310" s="104"/>
      <c r="D310" s="104"/>
      <c r="E310" s="104"/>
      <c r="F310" s="104"/>
      <c r="G310" s="104"/>
      <c r="H310" s="104"/>
      <c r="I310" s="104"/>
      <c r="J310" s="104"/>
      <c r="K310" s="104"/>
      <c r="L310" s="104"/>
    </row>
    <row r="311" spans="2:12">
      <c r="B311" s="104"/>
      <c r="C311" s="104"/>
      <c r="D311" s="104"/>
      <c r="E311" s="104"/>
      <c r="F311" s="104"/>
      <c r="G311" s="104"/>
      <c r="H311" s="104"/>
      <c r="I311" s="104"/>
      <c r="J311" s="104"/>
      <c r="K311" s="104"/>
      <c r="L311" s="104"/>
    </row>
    <row r="312" spans="2:12">
      <c r="B312" s="104"/>
      <c r="C312" s="104"/>
      <c r="D312" s="104"/>
      <c r="E312" s="104"/>
      <c r="F312" s="104"/>
      <c r="G312" s="104"/>
      <c r="H312" s="104"/>
      <c r="I312" s="104"/>
      <c r="J312" s="104"/>
      <c r="K312" s="104"/>
      <c r="L312" s="104"/>
    </row>
    <row r="313" spans="2:12">
      <c r="B313" s="104"/>
      <c r="C313" s="104"/>
      <c r="D313" s="104"/>
      <c r="E313" s="104"/>
      <c r="F313" s="104"/>
      <c r="G313" s="104"/>
      <c r="H313" s="104"/>
      <c r="I313" s="104"/>
      <c r="J313" s="104"/>
      <c r="K313" s="104"/>
      <c r="L313" s="104"/>
    </row>
    <row r="314" spans="2:12"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</row>
    <row r="315" spans="2:12">
      <c r="B315" s="104"/>
      <c r="C315" s="104"/>
      <c r="D315" s="104"/>
      <c r="E315" s="104"/>
      <c r="F315" s="104"/>
      <c r="G315" s="104"/>
      <c r="H315" s="104"/>
      <c r="I315" s="104"/>
      <c r="J315" s="104"/>
      <c r="K315" s="104"/>
      <c r="L315" s="104"/>
    </row>
    <row r="316" spans="2:12">
      <c r="B316" s="104"/>
      <c r="C316" s="104"/>
      <c r="D316" s="104"/>
      <c r="E316" s="104"/>
      <c r="F316" s="104"/>
      <c r="G316" s="104"/>
      <c r="H316" s="104"/>
      <c r="I316" s="104"/>
      <c r="J316" s="104"/>
      <c r="K316" s="104"/>
      <c r="L316" s="104"/>
    </row>
    <row r="317" spans="2:12">
      <c r="B317" s="104"/>
      <c r="C317" s="104"/>
      <c r="D317" s="104"/>
      <c r="E317" s="104"/>
      <c r="F317" s="104"/>
      <c r="G317" s="104"/>
      <c r="H317" s="104"/>
      <c r="I317" s="104"/>
      <c r="J317" s="104"/>
      <c r="K317" s="104"/>
      <c r="L317" s="104"/>
    </row>
    <row r="318" spans="2:12">
      <c r="B318" s="104"/>
      <c r="C318" s="104"/>
      <c r="D318" s="104"/>
      <c r="E318" s="104"/>
      <c r="F318" s="104"/>
      <c r="G318" s="104"/>
      <c r="H318" s="104"/>
      <c r="I318" s="104"/>
      <c r="J318" s="104"/>
      <c r="K318" s="104"/>
      <c r="L318" s="104"/>
    </row>
    <row r="319" spans="2:12">
      <c r="B319" s="104"/>
      <c r="C319" s="104"/>
      <c r="D319" s="104"/>
      <c r="E319" s="104"/>
      <c r="F319" s="104"/>
      <c r="G319" s="104"/>
      <c r="H319" s="104"/>
      <c r="I319" s="104"/>
      <c r="J319" s="104"/>
      <c r="K319" s="104"/>
      <c r="L319" s="104"/>
    </row>
    <row r="320" spans="2:12">
      <c r="B320" s="104"/>
      <c r="C320" s="104"/>
      <c r="D320" s="104"/>
      <c r="E320" s="104"/>
      <c r="F320" s="104"/>
      <c r="G320" s="104"/>
      <c r="H320" s="104"/>
      <c r="I320" s="104"/>
      <c r="J320" s="104"/>
      <c r="K320" s="104"/>
      <c r="L320" s="104"/>
    </row>
    <row r="321" spans="2:12">
      <c r="B321" s="104"/>
      <c r="C321" s="104"/>
      <c r="D321" s="104"/>
      <c r="E321" s="104"/>
      <c r="F321" s="104"/>
      <c r="G321" s="104"/>
      <c r="H321" s="104"/>
      <c r="I321" s="104"/>
      <c r="J321" s="104"/>
      <c r="K321" s="104"/>
      <c r="L321" s="104"/>
    </row>
    <row r="322" spans="2:12">
      <c r="B322" s="104"/>
      <c r="C322" s="104"/>
      <c r="D322" s="104"/>
      <c r="E322" s="104"/>
      <c r="F322" s="104"/>
      <c r="G322" s="104"/>
      <c r="H322" s="104"/>
      <c r="I322" s="104"/>
      <c r="J322" s="104"/>
      <c r="K322" s="104"/>
      <c r="L322" s="104"/>
    </row>
    <row r="323" spans="2:12">
      <c r="B323" s="104"/>
      <c r="C323" s="104"/>
      <c r="D323" s="104"/>
      <c r="E323" s="104"/>
      <c r="F323" s="104"/>
      <c r="G323" s="104"/>
      <c r="H323" s="104"/>
      <c r="I323" s="104"/>
      <c r="J323" s="104"/>
      <c r="K323" s="104"/>
      <c r="L323" s="104"/>
    </row>
    <row r="324" spans="2:12">
      <c r="B324" s="104"/>
      <c r="C324" s="104"/>
      <c r="D324" s="104"/>
      <c r="E324" s="104"/>
      <c r="F324" s="104"/>
      <c r="G324" s="104"/>
      <c r="H324" s="104"/>
      <c r="I324" s="104"/>
      <c r="J324" s="104"/>
      <c r="K324" s="104"/>
      <c r="L324" s="104"/>
    </row>
    <row r="325" spans="2:12">
      <c r="B325" s="104"/>
      <c r="C325" s="104"/>
      <c r="D325" s="104"/>
      <c r="E325" s="104"/>
      <c r="F325" s="104"/>
      <c r="G325" s="104"/>
      <c r="H325" s="104"/>
      <c r="I325" s="104"/>
      <c r="J325" s="104"/>
      <c r="K325" s="104"/>
      <c r="L325" s="104"/>
    </row>
    <row r="326" spans="2:12">
      <c r="B326" s="104"/>
      <c r="C326" s="104"/>
      <c r="D326" s="104"/>
      <c r="E326" s="104"/>
      <c r="F326" s="104"/>
      <c r="G326" s="104"/>
      <c r="H326" s="104"/>
      <c r="I326" s="104"/>
      <c r="J326" s="104"/>
      <c r="K326" s="104"/>
      <c r="L326" s="104"/>
    </row>
    <row r="327" spans="2:12">
      <c r="B327" s="104"/>
      <c r="C327" s="104"/>
      <c r="D327" s="104"/>
      <c r="E327" s="104"/>
      <c r="F327" s="104"/>
      <c r="G327" s="104"/>
      <c r="H327" s="104"/>
      <c r="I327" s="104"/>
      <c r="J327" s="104"/>
      <c r="K327" s="104"/>
      <c r="L327" s="104"/>
    </row>
    <row r="328" spans="2:12"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</row>
    <row r="329" spans="2:12">
      <c r="B329" s="104"/>
      <c r="C329" s="104"/>
      <c r="D329" s="104"/>
      <c r="E329" s="104"/>
      <c r="F329" s="104"/>
      <c r="G329" s="104"/>
      <c r="H329" s="104"/>
      <c r="I329" s="104"/>
      <c r="J329" s="104"/>
      <c r="K329" s="104"/>
      <c r="L329" s="104"/>
    </row>
    <row r="330" spans="2:12">
      <c r="B330" s="104"/>
      <c r="C330" s="104"/>
      <c r="D330" s="104"/>
      <c r="E330" s="104"/>
      <c r="F330" s="104"/>
      <c r="G330" s="104"/>
      <c r="H330" s="104"/>
      <c r="I330" s="104"/>
      <c r="J330" s="104"/>
      <c r="K330" s="104"/>
      <c r="L330" s="104"/>
    </row>
    <row r="331" spans="2:12">
      <c r="B331" s="104"/>
      <c r="C331" s="104"/>
      <c r="D331" s="104"/>
      <c r="E331" s="104"/>
      <c r="F331" s="104"/>
      <c r="G331" s="104"/>
      <c r="H331" s="104"/>
      <c r="I331" s="104"/>
      <c r="J331" s="104"/>
      <c r="K331" s="104"/>
      <c r="L331" s="104"/>
    </row>
    <row r="332" spans="2:12">
      <c r="B332" s="104"/>
      <c r="C332" s="104"/>
      <c r="D332" s="104"/>
      <c r="E332" s="104"/>
      <c r="F332" s="104"/>
      <c r="G332" s="104"/>
      <c r="H332" s="104"/>
      <c r="I332" s="104"/>
      <c r="J332" s="104"/>
      <c r="K332" s="104"/>
      <c r="L332" s="104"/>
    </row>
    <row r="333" spans="2:12">
      <c r="B333" s="104"/>
      <c r="C333" s="104"/>
      <c r="D333" s="104"/>
      <c r="E333" s="104"/>
      <c r="F333" s="104"/>
      <c r="G333" s="104"/>
      <c r="H333" s="104"/>
      <c r="I333" s="104"/>
      <c r="J333" s="104"/>
      <c r="K333" s="104"/>
      <c r="L333" s="104"/>
    </row>
    <row r="334" spans="2:12">
      <c r="B334" s="104"/>
      <c r="C334" s="104"/>
      <c r="D334" s="104"/>
      <c r="E334" s="104"/>
      <c r="F334" s="104"/>
      <c r="G334" s="104"/>
      <c r="H334" s="104"/>
      <c r="I334" s="104"/>
      <c r="J334" s="104"/>
      <c r="K334" s="104"/>
      <c r="L334" s="104"/>
    </row>
    <row r="335" spans="2:12">
      <c r="B335" s="104"/>
      <c r="C335" s="104"/>
      <c r="D335" s="104"/>
      <c r="E335" s="104"/>
      <c r="F335" s="104"/>
      <c r="G335" s="104"/>
      <c r="H335" s="104"/>
      <c r="I335" s="104"/>
      <c r="J335" s="104"/>
      <c r="K335" s="104"/>
      <c r="L335" s="104"/>
    </row>
    <row r="336" spans="2:12">
      <c r="B336" s="104"/>
      <c r="C336" s="104"/>
      <c r="D336" s="104"/>
      <c r="E336" s="104"/>
      <c r="F336" s="104"/>
      <c r="G336" s="104"/>
      <c r="H336" s="104"/>
      <c r="I336" s="104"/>
      <c r="J336" s="104"/>
      <c r="K336" s="104"/>
      <c r="L336" s="104"/>
    </row>
    <row r="337" spans="2:12">
      <c r="B337" s="104"/>
      <c r="C337" s="104"/>
      <c r="D337" s="104"/>
      <c r="E337" s="104"/>
      <c r="F337" s="104"/>
      <c r="G337" s="104"/>
      <c r="H337" s="104"/>
      <c r="I337" s="104"/>
      <c r="J337" s="104"/>
      <c r="K337" s="104"/>
      <c r="L337" s="104"/>
    </row>
    <row r="338" spans="2:12">
      <c r="B338" s="104"/>
      <c r="C338" s="104"/>
      <c r="D338" s="104"/>
      <c r="E338" s="104"/>
      <c r="F338" s="104"/>
      <c r="G338" s="104"/>
      <c r="H338" s="104"/>
      <c r="I338" s="104"/>
      <c r="J338" s="104"/>
      <c r="K338" s="104"/>
      <c r="L338" s="104"/>
    </row>
    <row r="339" spans="2:12">
      <c r="B339" s="104"/>
      <c r="C339" s="104"/>
      <c r="D339" s="104"/>
      <c r="E339" s="104"/>
      <c r="F339" s="104"/>
      <c r="G339" s="104"/>
      <c r="H339" s="104"/>
      <c r="I339" s="104"/>
      <c r="J339" s="104"/>
      <c r="K339" s="104"/>
      <c r="L339" s="104"/>
    </row>
    <row r="340" spans="2:12">
      <c r="B340" s="104"/>
      <c r="C340" s="104"/>
      <c r="D340" s="104"/>
      <c r="E340" s="104"/>
      <c r="F340" s="104"/>
      <c r="G340" s="104"/>
      <c r="H340" s="104"/>
      <c r="I340" s="104"/>
      <c r="J340" s="104"/>
      <c r="K340" s="104"/>
      <c r="L340" s="104"/>
    </row>
    <row r="341" spans="2:12">
      <c r="B341" s="104"/>
      <c r="C341" s="104"/>
      <c r="D341" s="104"/>
      <c r="E341" s="104"/>
      <c r="F341" s="104"/>
      <c r="G341" s="104"/>
      <c r="H341" s="104"/>
      <c r="I341" s="104"/>
      <c r="J341" s="104"/>
      <c r="K341" s="104"/>
      <c r="L341" s="104"/>
    </row>
    <row r="342" spans="2:12">
      <c r="B342" s="104"/>
      <c r="C342" s="104"/>
      <c r="D342" s="104"/>
      <c r="E342" s="104"/>
      <c r="F342" s="104"/>
      <c r="G342" s="104"/>
      <c r="H342" s="104"/>
      <c r="I342" s="104"/>
      <c r="J342" s="104"/>
      <c r="K342" s="104"/>
      <c r="L342" s="104"/>
    </row>
    <row r="343" spans="2:12">
      <c r="B343" s="104"/>
      <c r="C343" s="104"/>
      <c r="D343" s="104"/>
      <c r="E343" s="104"/>
      <c r="F343" s="104"/>
      <c r="G343" s="104"/>
      <c r="H343" s="104"/>
      <c r="I343" s="104"/>
      <c r="J343" s="104"/>
      <c r="K343" s="104"/>
      <c r="L343" s="104"/>
    </row>
    <row r="344" spans="2:12">
      <c r="B344" s="104"/>
      <c r="C344" s="104"/>
      <c r="D344" s="104"/>
      <c r="E344" s="104"/>
      <c r="F344" s="104"/>
      <c r="G344" s="104"/>
      <c r="H344" s="104"/>
      <c r="I344" s="104"/>
      <c r="J344" s="104"/>
      <c r="K344" s="104"/>
      <c r="L344" s="104"/>
    </row>
    <row r="345" spans="2:12">
      <c r="B345" s="104"/>
      <c r="C345" s="104"/>
      <c r="D345" s="104"/>
      <c r="E345" s="104"/>
      <c r="F345" s="104"/>
      <c r="G345" s="104"/>
      <c r="H345" s="104"/>
      <c r="I345" s="104"/>
      <c r="J345" s="104"/>
      <c r="K345" s="104"/>
      <c r="L345" s="104"/>
    </row>
    <row r="346" spans="2:12">
      <c r="B346" s="104"/>
      <c r="C346" s="104"/>
      <c r="D346" s="104"/>
      <c r="E346" s="104"/>
      <c r="F346" s="104"/>
      <c r="G346" s="104"/>
      <c r="H346" s="104"/>
      <c r="I346" s="104"/>
      <c r="J346" s="104"/>
      <c r="K346" s="104"/>
      <c r="L346" s="104"/>
    </row>
    <row r="347" spans="2:12">
      <c r="B347" s="104"/>
      <c r="C347" s="104"/>
      <c r="D347" s="104"/>
      <c r="E347" s="104"/>
      <c r="F347" s="104"/>
      <c r="G347" s="104"/>
      <c r="H347" s="104"/>
      <c r="I347" s="104"/>
      <c r="J347" s="104"/>
      <c r="K347" s="104"/>
      <c r="L347" s="104"/>
    </row>
    <row r="348" spans="2:12">
      <c r="B348" s="104"/>
      <c r="C348" s="104"/>
      <c r="D348" s="104"/>
      <c r="E348" s="104"/>
      <c r="F348" s="104"/>
      <c r="G348" s="104"/>
      <c r="H348" s="104"/>
      <c r="I348" s="104"/>
      <c r="J348" s="104"/>
      <c r="K348" s="104"/>
      <c r="L348" s="104"/>
    </row>
    <row r="349" spans="2:12">
      <c r="B349" s="104"/>
      <c r="C349" s="104"/>
      <c r="D349" s="104"/>
      <c r="E349" s="104"/>
      <c r="F349" s="104"/>
      <c r="G349" s="104"/>
      <c r="H349" s="104"/>
      <c r="I349" s="104"/>
      <c r="J349" s="104"/>
      <c r="K349" s="104"/>
      <c r="L349" s="104"/>
    </row>
    <row r="350" spans="2:12">
      <c r="B350" s="104"/>
      <c r="C350" s="104"/>
      <c r="D350" s="104"/>
      <c r="E350" s="104"/>
      <c r="F350" s="104"/>
      <c r="G350" s="104"/>
      <c r="H350" s="104"/>
      <c r="I350" s="104"/>
      <c r="J350" s="104"/>
      <c r="K350" s="104"/>
      <c r="L350" s="104"/>
    </row>
    <row r="351" spans="2:12">
      <c r="B351" s="104"/>
      <c r="C351" s="104"/>
      <c r="D351" s="104"/>
      <c r="E351" s="104"/>
      <c r="F351" s="104"/>
      <c r="G351" s="104"/>
      <c r="H351" s="104"/>
      <c r="I351" s="104"/>
      <c r="J351" s="104"/>
      <c r="K351" s="104"/>
      <c r="L351" s="104"/>
    </row>
    <row r="352" spans="2:12">
      <c r="B352" s="104"/>
      <c r="C352" s="104"/>
      <c r="D352" s="104"/>
      <c r="E352" s="104"/>
      <c r="F352" s="104"/>
      <c r="G352" s="104"/>
      <c r="H352" s="104"/>
      <c r="I352" s="104"/>
      <c r="J352" s="104"/>
      <c r="K352" s="104"/>
      <c r="L352" s="104"/>
    </row>
    <row r="353" spans="2:12">
      <c r="B353" s="104"/>
      <c r="C353" s="104"/>
      <c r="D353" s="104"/>
      <c r="E353" s="104"/>
      <c r="F353" s="104"/>
      <c r="G353" s="104"/>
      <c r="H353" s="104"/>
      <c r="I353" s="104"/>
      <c r="J353" s="104"/>
      <c r="K353" s="104"/>
      <c r="L353" s="104"/>
    </row>
    <row r="354" spans="2:12">
      <c r="B354" s="104"/>
      <c r="C354" s="104"/>
      <c r="D354" s="104"/>
      <c r="E354" s="104"/>
      <c r="F354" s="104"/>
      <c r="G354" s="104"/>
      <c r="H354" s="104"/>
      <c r="I354" s="104"/>
      <c r="J354" s="104"/>
      <c r="K354" s="104"/>
      <c r="L354" s="104"/>
    </row>
    <row r="355" spans="2:12">
      <c r="B355" s="104"/>
      <c r="C355" s="104"/>
      <c r="D355" s="104"/>
      <c r="E355" s="104"/>
      <c r="F355" s="104"/>
      <c r="G355" s="104"/>
      <c r="H355" s="104"/>
      <c r="I355" s="104"/>
      <c r="J355" s="104"/>
      <c r="K355" s="104"/>
      <c r="L355" s="104"/>
    </row>
    <row r="356" spans="2:12">
      <c r="B356" s="104"/>
      <c r="C356" s="104"/>
      <c r="D356" s="104"/>
      <c r="E356" s="104"/>
      <c r="F356" s="104"/>
      <c r="G356" s="104"/>
      <c r="H356" s="104"/>
      <c r="I356" s="104"/>
      <c r="J356" s="104"/>
      <c r="K356" s="104"/>
      <c r="L356" s="104"/>
    </row>
    <row r="357" spans="2:12">
      <c r="B357" s="104"/>
      <c r="C357" s="104"/>
      <c r="D357" s="104"/>
      <c r="E357" s="104"/>
      <c r="F357" s="104"/>
      <c r="G357" s="104"/>
      <c r="H357" s="104"/>
      <c r="I357" s="104"/>
      <c r="J357" s="104"/>
      <c r="K357" s="104"/>
      <c r="L357" s="104"/>
    </row>
    <row r="358" spans="2:12">
      <c r="B358" s="104"/>
      <c r="C358" s="104"/>
      <c r="D358" s="104"/>
      <c r="E358" s="104"/>
      <c r="F358" s="104"/>
      <c r="G358" s="104"/>
      <c r="H358" s="104"/>
      <c r="I358" s="104"/>
      <c r="J358" s="104"/>
      <c r="K358" s="104"/>
      <c r="L358" s="104"/>
    </row>
    <row r="359" spans="2:12">
      <c r="B359" s="104"/>
      <c r="C359" s="104"/>
      <c r="D359" s="104"/>
      <c r="E359" s="104"/>
      <c r="F359" s="104"/>
      <c r="G359" s="104"/>
      <c r="H359" s="104"/>
      <c r="I359" s="104"/>
      <c r="J359" s="104"/>
      <c r="K359" s="104"/>
      <c r="L359" s="104"/>
    </row>
    <row r="360" spans="2:12">
      <c r="B360" s="104"/>
      <c r="C360" s="104"/>
      <c r="D360" s="104"/>
      <c r="E360" s="104"/>
      <c r="F360" s="104"/>
      <c r="G360" s="104"/>
      <c r="H360" s="104"/>
      <c r="I360" s="104"/>
      <c r="J360" s="104"/>
      <c r="K360" s="104"/>
      <c r="L360" s="104"/>
    </row>
    <row r="361" spans="2:12">
      <c r="B361" s="104"/>
      <c r="C361" s="104"/>
      <c r="D361" s="104"/>
      <c r="E361" s="104"/>
      <c r="F361" s="104"/>
      <c r="G361" s="104"/>
      <c r="H361" s="104"/>
      <c r="I361" s="104"/>
      <c r="J361" s="104"/>
      <c r="K361" s="104"/>
      <c r="L361" s="104"/>
    </row>
    <row r="362" spans="2:12">
      <c r="B362" s="104"/>
      <c r="C362" s="104"/>
      <c r="D362" s="104"/>
      <c r="E362" s="104"/>
      <c r="F362" s="104"/>
      <c r="G362" s="104"/>
      <c r="H362" s="104"/>
      <c r="I362" s="104"/>
      <c r="J362" s="104"/>
      <c r="K362" s="104"/>
      <c r="L362" s="104"/>
    </row>
    <row r="363" spans="2:12">
      <c r="B363" s="104"/>
      <c r="C363" s="104"/>
      <c r="D363" s="104"/>
      <c r="E363" s="104"/>
      <c r="F363" s="104"/>
      <c r="G363" s="104"/>
      <c r="H363" s="104"/>
      <c r="I363" s="104"/>
      <c r="J363" s="104"/>
      <c r="K363" s="104"/>
      <c r="L363" s="104"/>
    </row>
    <row r="364" spans="2:12">
      <c r="B364" s="104"/>
      <c r="C364" s="104"/>
      <c r="D364" s="104"/>
      <c r="E364" s="104"/>
      <c r="F364" s="104"/>
      <c r="G364" s="104"/>
      <c r="H364" s="104"/>
      <c r="I364" s="104"/>
      <c r="J364" s="104"/>
      <c r="K364" s="104"/>
      <c r="L364" s="104"/>
    </row>
    <row r="365" spans="2:12">
      <c r="B365" s="104"/>
      <c r="C365" s="104"/>
      <c r="D365" s="104"/>
      <c r="E365" s="104"/>
      <c r="F365" s="104"/>
      <c r="G365" s="104"/>
      <c r="H365" s="104"/>
      <c r="I365" s="104"/>
      <c r="J365" s="104"/>
      <c r="K365" s="104"/>
      <c r="L365" s="104"/>
    </row>
    <row r="366" spans="2:12">
      <c r="B366" s="104"/>
      <c r="C366" s="104"/>
      <c r="D366" s="104"/>
      <c r="E366" s="104"/>
      <c r="F366" s="104"/>
      <c r="G366" s="104"/>
      <c r="H366" s="104"/>
      <c r="I366" s="104"/>
      <c r="J366" s="104"/>
      <c r="K366" s="104"/>
      <c r="L366" s="104"/>
    </row>
    <row r="367" spans="2:12">
      <c r="B367" s="104"/>
      <c r="C367" s="104"/>
      <c r="D367" s="104"/>
      <c r="E367" s="104"/>
      <c r="F367" s="104"/>
      <c r="G367" s="104"/>
      <c r="H367" s="104"/>
      <c r="I367" s="104"/>
      <c r="J367" s="104"/>
      <c r="K367" s="104"/>
      <c r="L367" s="104"/>
    </row>
    <row r="368" spans="2:12">
      <c r="B368" s="104"/>
      <c r="C368" s="104"/>
      <c r="D368" s="104"/>
      <c r="E368" s="104"/>
      <c r="F368" s="104"/>
      <c r="G368" s="104"/>
      <c r="H368" s="104"/>
      <c r="I368" s="104"/>
      <c r="J368" s="104"/>
      <c r="K368" s="104"/>
      <c r="L368" s="104"/>
    </row>
    <row r="369" spans="2:12">
      <c r="B369" s="104"/>
      <c r="C369" s="104"/>
      <c r="D369" s="104"/>
      <c r="E369" s="104"/>
      <c r="F369" s="104"/>
      <c r="G369" s="104"/>
      <c r="H369" s="104"/>
      <c r="I369" s="104"/>
      <c r="J369" s="104"/>
      <c r="K369" s="104"/>
      <c r="L369" s="104"/>
    </row>
    <row r="370" spans="2:12">
      <c r="B370" s="104"/>
      <c r="C370" s="104"/>
      <c r="D370" s="104"/>
      <c r="E370" s="104"/>
      <c r="F370" s="104"/>
      <c r="G370" s="104"/>
      <c r="H370" s="104"/>
      <c r="I370" s="104"/>
      <c r="J370" s="104"/>
      <c r="K370" s="104"/>
      <c r="L370" s="104"/>
    </row>
    <row r="371" spans="2:12">
      <c r="B371" s="104"/>
      <c r="C371" s="104"/>
      <c r="D371" s="104"/>
      <c r="E371" s="104"/>
      <c r="F371" s="104"/>
      <c r="G371" s="104"/>
      <c r="H371" s="104"/>
      <c r="I371" s="104"/>
      <c r="J371" s="104"/>
      <c r="K371" s="104"/>
      <c r="L371" s="104"/>
    </row>
    <row r="372" spans="2:12">
      <c r="B372" s="104"/>
      <c r="C372" s="104"/>
      <c r="D372" s="104"/>
      <c r="E372" s="104"/>
      <c r="F372" s="104"/>
      <c r="G372" s="104"/>
      <c r="H372" s="104"/>
      <c r="I372" s="104"/>
      <c r="J372" s="104"/>
      <c r="K372" s="104"/>
      <c r="L372" s="104"/>
    </row>
    <row r="373" spans="2:12">
      <c r="B373" s="104"/>
      <c r="C373" s="104"/>
      <c r="D373" s="104"/>
      <c r="E373" s="104"/>
      <c r="F373" s="104"/>
      <c r="G373" s="104"/>
      <c r="H373" s="104"/>
      <c r="I373" s="104"/>
      <c r="J373" s="104"/>
      <c r="K373" s="104"/>
      <c r="L373" s="104"/>
    </row>
    <row r="374" spans="2:12">
      <c r="B374" s="104"/>
      <c r="C374" s="104"/>
      <c r="D374" s="104"/>
      <c r="E374" s="104"/>
      <c r="F374" s="104"/>
      <c r="G374" s="104"/>
      <c r="H374" s="104"/>
      <c r="I374" s="104"/>
      <c r="J374" s="104"/>
      <c r="K374" s="104"/>
      <c r="L374" s="104"/>
    </row>
    <row r="375" spans="2:12">
      <c r="B375" s="104"/>
      <c r="C375" s="104"/>
      <c r="D375" s="104"/>
      <c r="E375" s="104"/>
      <c r="F375" s="104"/>
      <c r="G375" s="104"/>
      <c r="H375" s="104"/>
      <c r="I375" s="104"/>
      <c r="J375" s="104"/>
      <c r="K375" s="104"/>
      <c r="L375" s="104"/>
    </row>
    <row r="376" spans="2:12">
      <c r="B376" s="104"/>
      <c r="C376" s="104"/>
      <c r="D376" s="104"/>
      <c r="E376" s="104"/>
      <c r="F376" s="104"/>
      <c r="G376" s="104"/>
      <c r="H376" s="104"/>
      <c r="I376" s="104"/>
      <c r="J376" s="104"/>
      <c r="K376" s="104"/>
      <c r="L376" s="104"/>
    </row>
    <row r="377" spans="2:12">
      <c r="B377" s="104"/>
      <c r="C377" s="104"/>
      <c r="D377" s="104"/>
      <c r="E377" s="104"/>
      <c r="F377" s="104"/>
      <c r="G377" s="104"/>
      <c r="H377" s="104"/>
      <c r="I377" s="104"/>
      <c r="J377" s="104"/>
      <c r="K377" s="104"/>
      <c r="L377" s="104"/>
    </row>
    <row r="378" spans="2:12">
      <c r="B378" s="104"/>
      <c r="C378" s="104"/>
      <c r="D378" s="104"/>
      <c r="E378" s="104"/>
      <c r="F378" s="104"/>
      <c r="G378" s="104"/>
      <c r="H378" s="104"/>
      <c r="I378" s="104"/>
      <c r="J378" s="104"/>
      <c r="K378" s="104"/>
      <c r="L378" s="104"/>
    </row>
    <row r="379" spans="2:12">
      <c r="B379" s="104"/>
      <c r="C379" s="104"/>
      <c r="D379" s="104"/>
      <c r="E379" s="104"/>
      <c r="F379" s="104"/>
      <c r="G379" s="104"/>
      <c r="H379" s="104"/>
      <c r="I379" s="104"/>
      <c r="J379" s="104"/>
      <c r="K379" s="104"/>
      <c r="L379" s="104"/>
    </row>
    <row r="380" spans="2:12">
      <c r="B380" s="104"/>
      <c r="C380" s="104"/>
      <c r="D380" s="104"/>
      <c r="E380" s="104"/>
      <c r="F380" s="104"/>
      <c r="G380" s="104"/>
      <c r="H380" s="104"/>
      <c r="I380" s="104"/>
      <c r="J380" s="104"/>
      <c r="K380" s="104"/>
      <c r="L380" s="104"/>
    </row>
    <row r="381" spans="2:12">
      <c r="B381" s="104"/>
      <c r="C381" s="104"/>
      <c r="D381" s="104"/>
      <c r="E381" s="104"/>
      <c r="F381" s="104"/>
      <c r="G381" s="104"/>
      <c r="H381" s="104"/>
      <c r="I381" s="104"/>
      <c r="J381" s="104"/>
      <c r="K381" s="104"/>
      <c r="L381" s="104"/>
    </row>
    <row r="382" spans="2:12">
      <c r="B382" s="104"/>
      <c r="C382" s="104"/>
      <c r="D382" s="104"/>
      <c r="E382" s="104"/>
      <c r="F382" s="104"/>
      <c r="G382" s="104"/>
      <c r="H382" s="104"/>
      <c r="I382" s="104"/>
      <c r="J382" s="104"/>
      <c r="K382" s="104"/>
      <c r="L382" s="104"/>
    </row>
    <row r="383" spans="2:12">
      <c r="B383" s="104"/>
      <c r="C383" s="104"/>
      <c r="D383" s="104"/>
      <c r="E383" s="104"/>
      <c r="F383" s="104"/>
      <c r="G383" s="104"/>
      <c r="H383" s="104"/>
      <c r="I383" s="104"/>
      <c r="J383" s="104"/>
      <c r="K383" s="104"/>
      <c r="L383" s="104"/>
    </row>
    <row r="384" spans="2:12">
      <c r="B384" s="104"/>
      <c r="C384" s="104"/>
      <c r="D384" s="104"/>
      <c r="E384" s="104"/>
      <c r="F384" s="104"/>
      <c r="G384" s="104"/>
      <c r="H384" s="104"/>
      <c r="I384" s="104"/>
      <c r="J384" s="104"/>
      <c r="K384" s="104"/>
      <c r="L384" s="104"/>
    </row>
    <row r="385" spans="2:12">
      <c r="B385" s="104"/>
      <c r="C385" s="104"/>
      <c r="D385" s="104"/>
      <c r="E385" s="104"/>
      <c r="F385" s="104"/>
      <c r="G385" s="104"/>
      <c r="H385" s="104"/>
      <c r="I385" s="104"/>
      <c r="J385" s="104"/>
      <c r="K385" s="104"/>
      <c r="L385" s="104"/>
    </row>
    <row r="386" spans="2:12">
      <c r="B386" s="104"/>
      <c r="C386" s="104"/>
      <c r="D386" s="104"/>
      <c r="E386" s="104"/>
      <c r="F386" s="104"/>
      <c r="G386" s="104"/>
      <c r="H386" s="104"/>
      <c r="I386" s="104"/>
      <c r="J386" s="104"/>
      <c r="K386" s="104"/>
      <c r="L386" s="104"/>
    </row>
    <row r="387" spans="2:12">
      <c r="B387" s="104"/>
      <c r="C387" s="104"/>
      <c r="D387" s="104"/>
      <c r="E387" s="104"/>
      <c r="F387" s="104"/>
      <c r="G387" s="104"/>
      <c r="H387" s="104"/>
      <c r="I387" s="104"/>
      <c r="J387" s="104"/>
      <c r="K387" s="104"/>
      <c r="L387" s="104"/>
    </row>
    <row r="388" spans="2:12">
      <c r="B388" s="104"/>
      <c r="C388" s="104"/>
      <c r="D388" s="104"/>
      <c r="E388" s="104"/>
      <c r="F388" s="104"/>
      <c r="G388" s="104"/>
      <c r="H388" s="104"/>
      <c r="I388" s="104"/>
      <c r="J388" s="104"/>
      <c r="K388" s="104"/>
      <c r="L388" s="104"/>
    </row>
    <row r="389" spans="2:12">
      <c r="B389" s="104"/>
      <c r="C389" s="104"/>
      <c r="D389" s="104"/>
      <c r="E389" s="104"/>
      <c r="F389" s="104"/>
      <c r="G389" s="104"/>
      <c r="H389" s="104"/>
      <c r="I389" s="104"/>
      <c r="J389" s="104"/>
      <c r="K389" s="104"/>
      <c r="L389" s="104"/>
    </row>
    <row r="390" spans="2:12">
      <c r="B390" s="104"/>
      <c r="C390" s="104"/>
      <c r="D390" s="104"/>
      <c r="E390" s="104"/>
      <c r="F390" s="104"/>
      <c r="G390" s="104"/>
      <c r="H390" s="104"/>
      <c r="I390" s="104"/>
      <c r="J390" s="104"/>
      <c r="K390" s="104"/>
      <c r="L390" s="104"/>
    </row>
    <row r="391" spans="2:12">
      <c r="B391" s="104"/>
      <c r="C391" s="104"/>
      <c r="D391" s="104"/>
      <c r="E391" s="104"/>
      <c r="F391" s="104"/>
      <c r="G391" s="104"/>
      <c r="H391" s="104"/>
      <c r="I391" s="104"/>
      <c r="J391" s="104"/>
      <c r="K391" s="104"/>
      <c r="L391" s="104"/>
    </row>
    <row r="392" spans="2:12">
      <c r="B392" s="104"/>
      <c r="C392" s="104"/>
      <c r="D392" s="104"/>
      <c r="E392" s="104"/>
      <c r="F392" s="104"/>
      <c r="G392" s="104"/>
      <c r="H392" s="104"/>
      <c r="I392" s="104"/>
      <c r="J392" s="104"/>
      <c r="K392" s="104"/>
      <c r="L392" s="104"/>
    </row>
    <row r="393" spans="2:12"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</row>
    <row r="394" spans="2:12">
      <c r="B394" s="104"/>
      <c r="C394" s="104"/>
      <c r="D394" s="104"/>
      <c r="E394" s="104"/>
      <c r="F394" s="104"/>
      <c r="G394" s="104"/>
      <c r="H394" s="104"/>
      <c r="I394" s="104"/>
      <c r="J394" s="104"/>
      <c r="K394" s="104"/>
      <c r="L394" s="104"/>
    </row>
    <row r="395" spans="2:12">
      <c r="B395" s="104"/>
      <c r="C395" s="104"/>
      <c r="D395" s="104"/>
      <c r="E395" s="104"/>
      <c r="F395" s="104"/>
      <c r="G395" s="104"/>
      <c r="H395" s="104"/>
      <c r="I395" s="104"/>
      <c r="J395" s="104"/>
      <c r="K395" s="104"/>
      <c r="L395" s="104"/>
    </row>
    <row r="396" spans="2:12">
      <c r="B396" s="104"/>
      <c r="C396" s="104"/>
      <c r="D396" s="104"/>
      <c r="E396" s="104"/>
      <c r="F396" s="104"/>
      <c r="G396" s="104"/>
      <c r="H396" s="104"/>
      <c r="I396" s="104"/>
      <c r="J396" s="104"/>
      <c r="K396" s="104"/>
      <c r="L396" s="104"/>
    </row>
    <row r="397" spans="2:12">
      <c r="B397" s="104"/>
      <c r="C397" s="104"/>
      <c r="D397" s="104"/>
      <c r="E397" s="104"/>
      <c r="F397" s="104"/>
      <c r="G397" s="104"/>
      <c r="H397" s="104"/>
      <c r="I397" s="104"/>
      <c r="J397" s="104"/>
      <c r="K397" s="104"/>
      <c r="L397" s="104"/>
    </row>
    <row r="398" spans="2:12">
      <c r="B398" s="104"/>
      <c r="C398" s="104"/>
      <c r="D398" s="104"/>
      <c r="E398" s="104"/>
      <c r="F398" s="104"/>
      <c r="G398" s="104"/>
      <c r="H398" s="104"/>
      <c r="I398" s="104"/>
      <c r="J398" s="104"/>
      <c r="K398" s="104"/>
      <c r="L398" s="104"/>
    </row>
    <row r="399" spans="2:12">
      <c r="B399" s="104"/>
      <c r="C399" s="104"/>
      <c r="D399" s="104"/>
      <c r="E399" s="104"/>
      <c r="F399" s="104"/>
      <c r="G399" s="104"/>
      <c r="H399" s="104"/>
      <c r="I399" s="104"/>
      <c r="J399" s="104"/>
      <c r="K399" s="104"/>
      <c r="L399" s="104"/>
    </row>
    <row r="400" spans="2:12">
      <c r="B400" s="104"/>
      <c r="C400" s="104"/>
      <c r="D400" s="104"/>
      <c r="E400" s="104"/>
      <c r="F400" s="104"/>
      <c r="G400" s="104"/>
      <c r="H400" s="104"/>
      <c r="I400" s="104"/>
      <c r="J400" s="104"/>
      <c r="K400" s="104"/>
      <c r="L400" s="104"/>
    </row>
    <row r="401" spans="2:12">
      <c r="B401" s="104"/>
      <c r="C401" s="104"/>
      <c r="D401" s="104"/>
      <c r="E401" s="104"/>
      <c r="F401" s="104"/>
      <c r="G401" s="104"/>
      <c r="H401" s="104"/>
      <c r="I401" s="104"/>
      <c r="J401" s="104"/>
      <c r="K401" s="104"/>
      <c r="L401" s="104"/>
    </row>
    <row r="402" spans="2:12">
      <c r="B402" s="104"/>
      <c r="C402" s="104"/>
      <c r="D402" s="104"/>
      <c r="E402" s="104"/>
      <c r="F402" s="104"/>
      <c r="G402" s="104"/>
      <c r="H402" s="104"/>
      <c r="I402" s="104"/>
      <c r="J402" s="104"/>
      <c r="K402" s="104"/>
      <c r="L402" s="104"/>
    </row>
    <row r="403" spans="2:12">
      <c r="B403" s="104"/>
      <c r="C403" s="104"/>
      <c r="D403" s="104"/>
      <c r="E403" s="104"/>
      <c r="F403" s="104"/>
      <c r="G403" s="104"/>
      <c r="H403" s="104"/>
      <c r="I403" s="104"/>
      <c r="J403" s="104"/>
      <c r="K403" s="104"/>
      <c r="L403" s="104"/>
    </row>
    <row r="404" spans="2:12">
      <c r="B404" s="104"/>
      <c r="C404" s="104"/>
      <c r="D404" s="104"/>
      <c r="E404" s="104"/>
      <c r="F404" s="104"/>
      <c r="G404" s="104"/>
      <c r="H404" s="104"/>
      <c r="I404" s="104"/>
      <c r="J404" s="104"/>
      <c r="K404" s="104"/>
      <c r="L404" s="104"/>
    </row>
    <row r="405" spans="2:12">
      <c r="B405" s="104"/>
      <c r="C405" s="104"/>
      <c r="D405" s="104"/>
      <c r="E405" s="104"/>
      <c r="F405" s="104"/>
      <c r="G405" s="104"/>
      <c r="H405" s="104"/>
      <c r="I405" s="104"/>
      <c r="J405" s="104"/>
      <c r="K405" s="104"/>
      <c r="L405" s="104"/>
    </row>
    <row r="406" spans="2:12">
      <c r="B406" s="104"/>
      <c r="C406" s="104"/>
      <c r="D406" s="104"/>
      <c r="E406" s="104"/>
      <c r="F406" s="104"/>
      <c r="G406" s="104"/>
      <c r="H406" s="104"/>
      <c r="I406" s="104"/>
      <c r="J406" s="104"/>
      <c r="K406" s="104"/>
      <c r="L406" s="104"/>
    </row>
    <row r="407" spans="2:12">
      <c r="B407" s="104"/>
      <c r="C407" s="104"/>
      <c r="D407" s="104"/>
      <c r="E407" s="104"/>
      <c r="F407" s="104"/>
      <c r="G407" s="104"/>
      <c r="H407" s="104"/>
      <c r="I407" s="104"/>
      <c r="J407" s="104"/>
      <c r="K407" s="104"/>
      <c r="L407" s="104"/>
    </row>
    <row r="408" spans="2:12">
      <c r="B408" s="104"/>
      <c r="C408" s="104"/>
      <c r="D408" s="104"/>
      <c r="E408" s="104"/>
      <c r="F408" s="104"/>
      <c r="G408" s="104"/>
      <c r="H408" s="104"/>
      <c r="I408" s="104"/>
      <c r="J408" s="104"/>
      <c r="K408" s="104"/>
      <c r="L408" s="104"/>
    </row>
    <row r="409" spans="2:12">
      <c r="B409" s="104"/>
      <c r="C409" s="104"/>
      <c r="D409" s="104"/>
      <c r="E409" s="104"/>
      <c r="F409" s="104"/>
      <c r="G409" s="104"/>
      <c r="H409" s="104"/>
      <c r="I409" s="104"/>
      <c r="J409" s="104"/>
      <c r="K409" s="104"/>
      <c r="L409" s="104"/>
    </row>
    <row r="410" spans="2:12">
      <c r="B410" s="104"/>
      <c r="C410" s="104"/>
      <c r="D410" s="104"/>
      <c r="E410" s="104"/>
      <c r="F410" s="104"/>
      <c r="G410" s="104"/>
      <c r="H410" s="104"/>
      <c r="I410" s="104"/>
      <c r="J410" s="104"/>
      <c r="K410" s="104"/>
      <c r="L410" s="104"/>
    </row>
    <row r="411" spans="2:12">
      <c r="B411" s="104"/>
      <c r="C411" s="104"/>
      <c r="D411" s="104"/>
      <c r="E411" s="104"/>
      <c r="F411" s="104"/>
      <c r="G411" s="104"/>
      <c r="H411" s="104"/>
      <c r="I411" s="104"/>
      <c r="J411" s="104"/>
      <c r="K411" s="104"/>
      <c r="L411" s="104"/>
    </row>
    <row r="412" spans="2:12">
      <c r="B412" s="104"/>
      <c r="C412" s="104"/>
      <c r="D412" s="104"/>
      <c r="E412" s="104"/>
      <c r="F412" s="104"/>
      <c r="G412" s="104"/>
      <c r="H412" s="104"/>
      <c r="I412" s="104"/>
      <c r="J412" s="104"/>
      <c r="K412" s="104"/>
      <c r="L412" s="104"/>
    </row>
    <row r="413" spans="2:12">
      <c r="B413" s="104"/>
      <c r="C413" s="104"/>
      <c r="D413" s="104"/>
      <c r="E413" s="104"/>
      <c r="F413" s="104"/>
      <c r="G413" s="104"/>
      <c r="H413" s="104"/>
      <c r="I413" s="104"/>
      <c r="J413" s="104"/>
      <c r="K413" s="104"/>
      <c r="L413" s="104"/>
    </row>
    <row r="414" spans="2:12">
      <c r="B414" s="104"/>
      <c r="C414" s="104"/>
      <c r="D414" s="104"/>
      <c r="E414" s="104"/>
      <c r="F414" s="104"/>
      <c r="G414" s="104"/>
      <c r="H414" s="104"/>
      <c r="I414" s="104"/>
      <c r="J414" s="104"/>
      <c r="K414" s="104"/>
      <c r="L414" s="104"/>
    </row>
  </sheetData>
  <mergeCells count="6">
    <mergeCell ref="D1:H3"/>
    <mergeCell ref="A4:C4"/>
    <mergeCell ref="D4:H4"/>
    <mergeCell ref="A5:C5"/>
    <mergeCell ref="D5:G5"/>
    <mergeCell ref="H5:H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1" orientation="portrait" r:id="rId1"/>
  <headerFooter>
    <oddFooter>&amp;L&amp;"Calibri,Regular"&amp;12&amp;K184782&amp;F&amp;C&amp;"Calibri,Regular"&amp;12&amp;K184782&amp;A&amp;R&amp;"Calibri,Regular"&amp;12&amp;K184782&amp;P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pageSetUpPr fitToPage="1"/>
  </sheetPr>
  <dimension ref="A1:L412"/>
  <sheetViews>
    <sheetView showGridLines="0" zoomScaleNormal="100" workbookViewId="0">
      <pane ySplit="2490" topLeftCell="A98" activePane="bottomLeft"/>
      <selection activeCell="H91" sqref="A91:XFD91"/>
      <selection pane="bottomLeft" activeCell="I110" sqref="I110"/>
    </sheetView>
  </sheetViews>
  <sheetFormatPr defaultRowHeight="12.75"/>
  <cols>
    <col min="1" max="1" width="13.5703125" style="67" customWidth="1"/>
    <col min="2" max="2" width="10.140625" style="67" bestFit="1" customWidth="1"/>
    <col min="3" max="3" width="10.140625" style="67" customWidth="1"/>
    <col min="4" max="7" width="9.140625" style="67"/>
    <col min="8" max="8" width="15.7109375" style="67" customWidth="1"/>
    <col min="9" max="16384" width="9.140625" style="67"/>
  </cols>
  <sheetData>
    <row r="1" spans="1:11" ht="16.5" customHeight="1">
      <c r="B1" s="101"/>
      <c r="C1" s="101"/>
      <c r="D1" s="294" t="s">
        <v>251</v>
      </c>
      <c r="E1" s="294"/>
      <c r="F1" s="294"/>
      <c r="G1" s="294"/>
      <c r="H1" s="294"/>
    </row>
    <row r="2" spans="1:11" ht="17.25" customHeight="1">
      <c r="A2" s="101"/>
      <c r="B2" s="101"/>
      <c r="C2" s="101"/>
      <c r="D2" s="294"/>
      <c r="E2" s="294"/>
      <c r="F2" s="294"/>
      <c r="G2" s="294"/>
      <c r="H2" s="294"/>
    </row>
    <row r="3" spans="1:11" ht="21" customHeight="1" thickBot="1">
      <c r="A3" s="101"/>
      <c r="B3" s="101"/>
      <c r="C3" s="101"/>
      <c r="D3" s="294"/>
      <c r="E3" s="294"/>
      <c r="F3" s="294"/>
      <c r="G3" s="294"/>
      <c r="H3" s="294"/>
    </row>
    <row r="4" spans="1:11" ht="21" customHeight="1" thickBot="1">
      <c r="A4" s="301" t="s">
        <v>64</v>
      </c>
      <c r="B4" s="302"/>
      <c r="C4" s="302"/>
      <c r="D4" s="303" t="s">
        <v>63</v>
      </c>
      <c r="E4" s="303"/>
      <c r="F4" s="303"/>
      <c r="G4" s="303"/>
      <c r="H4" s="304"/>
    </row>
    <row r="5" spans="1:11" ht="22.5" customHeight="1" thickBot="1">
      <c r="A5" s="296" t="s">
        <v>56</v>
      </c>
      <c r="B5" s="297"/>
      <c r="C5" s="297"/>
      <c r="D5" s="298" t="s">
        <v>57</v>
      </c>
      <c r="E5" s="299"/>
      <c r="F5" s="299"/>
      <c r="G5" s="300"/>
      <c r="H5" s="295" t="s">
        <v>58</v>
      </c>
    </row>
    <row r="6" spans="1:11" ht="13.5" thickBot="1">
      <c r="A6" s="128" t="s">
        <v>109</v>
      </c>
      <c r="B6" s="129" t="s">
        <v>0</v>
      </c>
      <c r="C6" s="129" t="s">
        <v>4</v>
      </c>
      <c r="D6" s="129" t="s">
        <v>1</v>
      </c>
      <c r="E6" s="129" t="s">
        <v>2</v>
      </c>
      <c r="F6" s="129" t="s">
        <v>3</v>
      </c>
      <c r="G6" s="129" t="s">
        <v>59</v>
      </c>
      <c r="H6" s="305"/>
      <c r="I6" s="109"/>
      <c r="J6" s="109"/>
      <c r="K6" s="110"/>
    </row>
    <row r="7" spans="1:11" ht="16.5" customHeight="1" thickBot="1">
      <c r="A7" s="144" t="s">
        <v>67</v>
      </c>
      <c r="B7" s="145"/>
      <c r="C7" s="145"/>
      <c r="D7" s="145"/>
      <c r="E7" s="145"/>
      <c r="F7" s="145"/>
      <c r="G7" s="145"/>
      <c r="H7" s="287"/>
      <c r="I7" s="109"/>
      <c r="J7" s="109"/>
      <c r="K7" s="110"/>
    </row>
    <row r="8" spans="1:11" ht="16.5" customHeight="1">
      <c r="A8" s="158" t="s">
        <v>214</v>
      </c>
      <c r="B8" s="178">
        <f>[3]media_12!$D$9</f>
        <v>4.0679999999999996</v>
      </c>
      <c r="C8" s="178">
        <f t="shared" ref="C8:C29" si="0">100*B8/$B$8</f>
        <v>100</v>
      </c>
      <c r="D8" s="146"/>
      <c r="E8" s="146"/>
      <c r="F8" s="147"/>
      <c r="G8" s="148"/>
      <c r="H8" s="162">
        <f>$B$110/B8</f>
        <v>0.44829564077351702</v>
      </c>
      <c r="I8" s="110"/>
      <c r="J8" s="110"/>
      <c r="K8" s="110"/>
    </row>
    <row r="9" spans="1:11" ht="16.5" customHeight="1">
      <c r="A9" s="163" t="s">
        <v>215</v>
      </c>
      <c r="B9" s="177">
        <f>[4]media_12!$D$9</f>
        <v>4.0980000000000008</v>
      </c>
      <c r="C9" s="177">
        <f t="shared" si="0"/>
        <v>100.73746312684368</v>
      </c>
      <c r="D9" s="166">
        <f t="shared" ref="D9:D29" si="1">100*((B9/B8)-1)</f>
        <v>0.73746312684368487</v>
      </c>
      <c r="E9" s="166">
        <f>100*((B9/$B$8)-1)</f>
        <v>0.73746312684368487</v>
      </c>
      <c r="F9" s="169"/>
      <c r="G9" s="170"/>
      <c r="H9" s="168">
        <f>$B$110/B9</f>
        <v>0.4450138278835204</v>
      </c>
      <c r="I9" s="110"/>
      <c r="J9" s="110"/>
      <c r="K9" s="110"/>
    </row>
    <row r="10" spans="1:11" ht="16.5" customHeight="1">
      <c r="A10" s="163" t="s">
        <v>216</v>
      </c>
      <c r="B10" s="177">
        <f>[5]media_12!$D$9</f>
        <v>4.1070000000000002</v>
      </c>
      <c r="C10" s="177">
        <f t="shared" si="0"/>
        <v>100.95870206489677</v>
      </c>
      <c r="D10" s="166">
        <f t="shared" si="1"/>
        <v>0.21961932650071958</v>
      </c>
      <c r="E10" s="166">
        <f t="shared" ref="E10:E17" si="2">100*((B10/$B$8)-1)</f>
        <v>0.9587020648967659</v>
      </c>
      <c r="F10" s="169"/>
      <c r="G10" s="170"/>
      <c r="H10" s="168">
        <f t="shared" ref="H10:H73" si="3">$B$110/B10</f>
        <v>0.4440386332278225</v>
      </c>
      <c r="I10" s="110"/>
      <c r="J10" s="110"/>
      <c r="K10" s="110"/>
    </row>
    <row r="11" spans="1:11" ht="16.5" customHeight="1">
      <c r="A11" s="163" t="s">
        <v>217</v>
      </c>
      <c r="B11" s="177">
        <f>[6]media_12!$D$9</f>
        <v>4.1020000000000003</v>
      </c>
      <c r="C11" s="177">
        <f t="shared" si="0"/>
        <v>100.83579154375617</v>
      </c>
      <c r="D11" s="166">
        <f t="shared" si="1"/>
        <v>-0.12174336498660399</v>
      </c>
      <c r="E11" s="166">
        <f t="shared" si="2"/>
        <v>0.83579154375617026</v>
      </c>
      <c r="F11" s="169"/>
      <c r="G11" s="170"/>
      <c r="H11" s="168">
        <f t="shared" si="3"/>
        <v>0.44457987973346341</v>
      </c>
      <c r="I11" s="110"/>
      <c r="J11" s="110"/>
      <c r="K11" s="110"/>
    </row>
    <row r="12" spans="1:11" ht="16.5" customHeight="1">
      <c r="A12" s="163" t="s">
        <v>218</v>
      </c>
      <c r="B12" s="177">
        <f>[7]media_12!$D$9</f>
        <v>4.1020000000000003</v>
      </c>
      <c r="C12" s="177">
        <f t="shared" si="0"/>
        <v>100.83579154375617</v>
      </c>
      <c r="D12" s="166">
        <f t="shared" si="1"/>
        <v>0</v>
      </c>
      <c r="E12" s="166">
        <f t="shared" si="2"/>
        <v>0.83579154375617026</v>
      </c>
      <c r="F12" s="169"/>
      <c r="G12" s="170"/>
      <c r="H12" s="168">
        <f t="shared" si="3"/>
        <v>0.44457987973346341</v>
      </c>
      <c r="I12" s="110"/>
      <c r="J12" s="110"/>
      <c r="K12" s="110"/>
    </row>
    <row r="13" spans="1:11" ht="16.5" customHeight="1">
      <c r="A13" s="163" t="s">
        <v>219</v>
      </c>
      <c r="B13" s="177">
        <f>[8]media_12!$D$9</f>
        <v>4.1539999999999999</v>
      </c>
      <c r="C13" s="177">
        <f t="shared" si="0"/>
        <v>102.11406096361848</v>
      </c>
      <c r="D13" s="166">
        <f t="shared" si="1"/>
        <v>1.2676743052169481</v>
      </c>
      <c r="E13" s="166">
        <f t="shared" si="2"/>
        <v>2.1140609636185026</v>
      </c>
      <c r="F13" s="169"/>
      <c r="G13" s="170"/>
      <c r="H13" s="168">
        <f t="shared" si="3"/>
        <v>0.43901460439736811</v>
      </c>
      <c r="I13" s="110"/>
      <c r="J13" s="110"/>
      <c r="K13" s="110"/>
    </row>
    <row r="14" spans="1:11" ht="16.5" customHeight="1">
      <c r="A14" s="163" t="s">
        <v>220</v>
      </c>
      <c r="B14" s="177">
        <f>[9]media_12!$D$9</f>
        <v>4.1980000000000004</v>
      </c>
      <c r="C14" s="177">
        <f t="shared" si="0"/>
        <v>103.19567354965588</v>
      </c>
      <c r="D14" s="166">
        <f t="shared" si="1"/>
        <v>1.0592200288878306</v>
      </c>
      <c r="E14" s="166">
        <f t="shared" si="2"/>
        <v>3.1956735496558641</v>
      </c>
      <c r="F14" s="169"/>
      <c r="G14" s="170"/>
      <c r="H14" s="168">
        <f t="shared" si="3"/>
        <v>0.43441321264094018</v>
      </c>
      <c r="I14" s="110"/>
      <c r="J14" s="110"/>
      <c r="K14" s="110"/>
    </row>
    <row r="15" spans="1:11" ht="16.5" customHeight="1">
      <c r="A15" s="163" t="s">
        <v>221</v>
      </c>
      <c r="B15" s="177">
        <f>[10]media_12!$D$9</f>
        <v>4.1980000000000004</v>
      </c>
      <c r="C15" s="177">
        <f t="shared" si="0"/>
        <v>103.19567354965588</v>
      </c>
      <c r="D15" s="166">
        <f t="shared" si="1"/>
        <v>0</v>
      </c>
      <c r="E15" s="166">
        <f t="shared" si="2"/>
        <v>3.1956735496558641</v>
      </c>
      <c r="F15" s="169"/>
      <c r="G15" s="170"/>
      <c r="H15" s="168">
        <f t="shared" si="3"/>
        <v>0.43441321264094018</v>
      </c>
      <c r="I15" s="110"/>
      <c r="J15" s="110"/>
      <c r="K15" s="110"/>
    </row>
    <row r="16" spans="1:11" ht="16.5" customHeight="1">
      <c r="A16" s="163" t="s">
        <v>222</v>
      </c>
      <c r="B16" s="177">
        <f>[11]media_12!$D$9</f>
        <v>4.0980000000000008</v>
      </c>
      <c r="C16" s="177">
        <f t="shared" si="0"/>
        <v>100.73746312684368</v>
      </c>
      <c r="D16" s="166">
        <f t="shared" si="1"/>
        <v>-2.3820867079561658</v>
      </c>
      <c r="E16" s="166">
        <f t="shared" si="2"/>
        <v>0.73746312684368487</v>
      </c>
      <c r="F16" s="169"/>
      <c r="G16" s="170"/>
      <c r="H16" s="168">
        <f t="shared" si="3"/>
        <v>0.4450138278835204</v>
      </c>
      <c r="I16" s="111"/>
      <c r="J16" s="110"/>
      <c r="K16" s="110"/>
    </row>
    <row r="17" spans="1:11" ht="16.5" customHeight="1">
      <c r="A17" s="163" t="s">
        <v>223</v>
      </c>
      <c r="B17" s="177">
        <f>[12]media_12!$D$9</f>
        <v>4.0980000000000008</v>
      </c>
      <c r="C17" s="177">
        <f t="shared" si="0"/>
        <v>100.73746312684368</v>
      </c>
      <c r="D17" s="166">
        <f t="shared" si="1"/>
        <v>0</v>
      </c>
      <c r="E17" s="166">
        <f t="shared" si="2"/>
        <v>0.73746312684368487</v>
      </c>
      <c r="F17" s="169"/>
      <c r="G17" s="170"/>
      <c r="H17" s="168">
        <f t="shared" si="3"/>
        <v>0.4450138278835204</v>
      </c>
      <c r="I17" s="111"/>
      <c r="J17" s="110"/>
      <c r="K17" s="110"/>
    </row>
    <row r="18" spans="1:11" ht="16.5" customHeight="1">
      <c r="A18" s="163" t="s">
        <v>224</v>
      </c>
      <c r="B18" s="177">
        <f>[13]media_12!$D$9</f>
        <v>4.0980000000000008</v>
      </c>
      <c r="C18" s="177">
        <f t="shared" si="0"/>
        <v>100.73746312684368</v>
      </c>
      <c r="D18" s="166">
        <f t="shared" si="1"/>
        <v>0</v>
      </c>
      <c r="E18" s="166">
        <f>100*((B18/$B$17)-1)</f>
        <v>0</v>
      </c>
      <c r="F18" s="169"/>
      <c r="G18" s="170"/>
      <c r="H18" s="168">
        <f t="shared" si="3"/>
        <v>0.4450138278835204</v>
      </c>
      <c r="I18" s="111"/>
      <c r="J18" s="110"/>
      <c r="K18" s="110"/>
    </row>
    <row r="19" spans="1:11" ht="16.5" customHeight="1">
      <c r="A19" s="163" t="s">
        <v>225</v>
      </c>
      <c r="B19" s="177">
        <f>[14]media_12!$D$9</f>
        <v>4.0980000000000008</v>
      </c>
      <c r="C19" s="177">
        <f t="shared" si="0"/>
        <v>100.73746312684368</v>
      </c>
      <c r="D19" s="166">
        <f t="shared" si="1"/>
        <v>0</v>
      </c>
      <c r="E19" s="166">
        <f t="shared" ref="E19:E29" si="4">100*((B19/$B$17)-1)</f>
        <v>0</v>
      </c>
      <c r="F19" s="169"/>
      <c r="G19" s="170"/>
      <c r="H19" s="168">
        <f t="shared" si="3"/>
        <v>0.4450138278835204</v>
      </c>
      <c r="I19" s="111"/>
      <c r="J19" s="110"/>
      <c r="K19" s="110"/>
    </row>
    <row r="20" spans="1:11" ht="16.5" customHeight="1">
      <c r="A20" s="163" t="s">
        <v>226</v>
      </c>
      <c r="B20" s="177">
        <f>[15]media_12!$D$9</f>
        <v>4.0980000000000008</v>
      </c>
      <c r="C20" s="166">
        <f t="shared" si="0"/>
        <v>100.73746312684368</v>
      </c>
      <c r="D20" s="166">
        <f t="shared" si="1"/>
        <v>0</v>
      </c>
      <c r="E20" s="166">
        <f t="shared" si="4"/>
        <v>0</v>
      </c>
      <c r="F20" s="169">
        <f t="shared" ref="F20:F29" si="5">100*((B20/B8)-1)</f>
        <v>0.73746312684368487</v>
      </c>
      <c r="G20" s="170"/>
      <c r="H20" s="168">
        <f t="shared" si="3"/>
        <v>0.4450138278835204</v>
      </c>
      <c r="I20" s="111"/>
      <c r="J20" s="110"/>
      <c r="K20" s="110"/>
    </row>
    <row r="21" spans="1:11" ht="16.5" customHeight="1">
      <c r="A21" s="163" t="s">
        <v>227</v>
      </c>
      <c r="B21" s="177">
        <f>[16]media_12!$D$9</f>
        <v>4.0980000000000008</v>
      </c>
      <c r="C21" s="166">
        <f t="shared" si="0"/>
        <v>100.73746312684368</v>
      </c>
      <c r="D21" s="166">
        <f t="shared" si="1"/>
        <v>0</v>
      </c>
      <c r="E21" s="166">
        <f t="shared" si="4"/>
        <v>0</v>
      </c>
      <c r="F21" s="169">
        <f t="shared" si="5"/>
        <v>0</v>
      </c>
      <c r="G21" s="170"/>
      <c r="H21" s="168">
        <f t="shared" si="3"/>
        <v>0.4450138278835204</v>
      </c>
      <c r="I21" s="111"/>
      <c r="J21" s="110"/>
      <c r="K21" s="110"/>
    </row>
    <row r="22" spans="1:11" ht="16.5" customHeight="1">
      <c r="A22" s="163" t="s">
        <v>228</v>
      </c>
      <c r="B22" s="177">
        <f>[17]media_12!$D$9</f>
        <v>4.0980000000000008</v>
      </c>
      <c r="C22" s="166">
        <f t="shared" si="0"/>
        <v>100.73746312684368</v>
      </c>
      <c r="D22" s="166">
        <f t="shared" si="1"/>
        <v>0</v>
      </c>
      <c r="E22" s="166">
        <f t="shared" si="4"/>
        <v>0</v>
      </c>
      <c r="F22" s="169">
        <f t="shared" si="5"/>
        <v>-0.21913805697587607</v>
      </c>
      <c r="G22" s="170"/>
      <c r="H22" s="168">
        <f t="shared" si="3"/>
        <v>0.4450138278835204</v>
      </c>
      <c r="I22" s="111"/>
      <c r="J22" s="110"/>
      <c r="K22" s="110"/>
    </row>
    <row r="23" spans="1:11" ht="16.5" customHeight="1">
      <c r="A23" s="163" t="s">
        <v>229</v>
      </c>
      <c r="B23" s="177">
        <f>[18]media_12!$D$9</f>
        <v>4.0980000000000008</v>
      </c>
      <c r="C23" s="166">
        <f t="shared" si="0"/>
        <v>100.73746312684368</v>
      </c>
      <c r="D23" s="166">
        <f t="shared" si="1"/>
        <v>0</v>
      </c>
      <c r="E23" s="166">
        <f t="shared" si="4"/>
        <v>0</v>
      </c>
      <c r="F23" s="169">
        <f t="shared" si="5"/>
        <v>-9.7513408093596876E-2</v>
      </c>
      <c r="G23" s="170"/>
      <c r="H23" s="168">
        <f t="shared" si="3"/>
        <v>0.4450138278835204</v>
      </c>
      <c r="I23" s="110"/>
      <c r="J23" s="110"/>
      <c r="K23" s="110"/>
    </row>
    <row r="24" spans="1:11" ht="16.5" customHeight="1">
      <c r="A24" s="163" t="s">
        <v>230</v>
      </c>
      <c r="B24" s="177">
        <f>[19]media_12!$D$9</f>
        <v>3.8880000000000003</v>
      </c>
      <c r="C24" s="166">
        <f t="shared" si="0"/>
        <v>95.57522123893807</v>
      </c>
      <c r="D24" s="166">
        <f t="shared" si="1"/>
        <v>-5.1244509516837571</v>
      </c>
      <c r="E24" s="166">
        <f t="shared" si="4"/>
        <v>-5.1244509516837571</v>
      </c>
      <c r="F24" s="169">
        <f t="shared" si="5"/>
        <v>-5.2169673330082826</v>
      </c>
      <c r="G24" s="170"/>
      <c r="H24" s="168">
        <f t="shared" si="3"/>
        <v>0.46905006858710568</v>
      </c>
      <c r="I24" s="110"/>
      <c r="J24" s="110"/>
      <c r="K24" s="110"/>
    </row>
    <row r="25" spans="1:11" ht="16.5" customHeight="1">
      <c r="A25" s="163" t="s">
        <v>231</v>
      </c>
      <c r="B25" s="177">
        <f>[20]media_12!$D$9</f>
        <v>3.8880000000000003</v>
      </c>
      <c r="C25" s="166">
        <f t="shared" si="0"/>
        <v>95.57522123893807</v>
      </c>
      <c r="D25" s="166">
        <f t="shared" si="1"/>
        <v>0</v>
      </c>
      <c r="E25" s="166">
        <f t="shared" si="4"/>
        <v>-5.1244509516837571</v>
      </c>
      <c r="F25" s="169">
        <f t="shared" si="5"/>
        <v>-6.4034665382763478</v>
      </c>
      <c r="G25" s="170"/>
      <c r="H25" s="168">
        <f t="shared" si="3"/>
        <v>0.46905006858710568</v>
      </c>
      <c r="I25" s="110"/>
      <c r="J25" s="110"/>
      <c r="K25" s="110"/>
    </row>
    <row r="26" spans="1:11" ht="16.5" customHeight="1">
      <c r="A26" s="163" t="s">
        <v>232</v>
      </c>
      <c r="B26" s="177">
        <f>[21]media_12!$D$9</f>
        <v>3.8880000000000003</v>
      </c>
      <c r="C26" s="166">
        <f t="shared" si="0"/>
        <v>95.57522123893807</v>
      </c>
      <c r="D26" s="166">
        <f t="shared" si="1"/>
        <v>0</v>
      </c>
      <c r="E26" s="166">
        <f t="shared" si="4"/>
        <v>-5.1244509516837571</v>
      </c>
      <c r="F26" s="169">
        <f t="shared" si="5"/>
        <v>-7.384468794664123</v>
      </c>
      <c r="G26" s="170"/>
      <c r="H26" s="168">
        <f t="shared" si="3"/>
        <v>0.46905006858710568</v>
      </c>
      <c r="I26" s="110"/>
      <c r="J26" s="110"/>
      <c r="K26" s="110"/>
    </row>
    <row r="27" spans="1:11" ht="16.5" customHeight="1">
      <c r="A27" s="163" t="s">
        <v>233</v>
      </c>
      <c r="B27" s="177">
        <f>[22]media_12!$D$9</f>
        <v>3.8880000000000003</v>
      </c>
      <c r="C27" s="166">
        <f t="shared" si="0"/>
        <v>95.57522123893807</v>
      </c>
      <c r="D27" s="166">
        <f t="shared" si="1"/>
        <v>0</v>
      </c>
      <c r="E27" s="166">
        <f t="shared" si="4"/>
        <v>-5.1244509516837571</v>
      </c>
      <c r="F27" s="169">
        <f t="shared" si="5"/>
        <v>-7.384468794664123</v>
      </c>
      <c r="G27" s="170"/>
      <c r="H27" s="168">
        <f t="shared" si="3"/>
        <v>0.46905006858710568</v>
      </c>
      <c r="I27" s="110"/>
      <c r="J27" s="110"/>
      <c r="K27" s="110"/>
    </row>
    <row r="28" spans="1:11" ht="16.5" customHeight="1">
      <c r="A28" s="163" t="s">
        <v>234</v>
      </c>
      <c r="B28" s="177">
        <f>[23]media_12!$D$9</f>
        <v>3.8880000000000003</v>
      </c>
      <c r="C28" s="166">
        <f t="shared" si="0"/>
        <v>95.57522123893807</v>
      </c>
      <c r="D28" s="166">
        <f t="shared" si="1"/>
        <v>0</v>
      </c>
      <c r="E28" s="166">
        <f t="shared" si="4"/>
        <v>-5.1244509516837571</v>
      </c>
      <c r="F28" s="169">
        <f t="shared" si="5"/>
        <v>-5.1244509516837571</v>
      </c>
      <c r="G28" s="170"/>
      <c r="H28" s="168">
        <f t="shared" si="3"/>
        <v>0.46905006858710568</v>
      </c>
      <c r="I28" s="110"/>
      <c r="J28" s="110"/>
      <c r="K28" s="110"/>
    </row>
    <row r="29" spans="1:11" ht="16.5" customHeight="1">
      <c r="A29" s="163" t="s">
        <v>235</v>
      </c>
      <c r="B29" s="177">
        <f>[24]media_12!$D$8</f>
        <v>3.8880000000000003</v>
      </c>
      <c r="C29" s="166">
        <f t="shared" si="0"/>
        <v>95.57522123893807</v>
      </c>
      <c r="D29" s="166">
        <f t="shared" si="1"/>
        <v>0</v>
      </c>
      <c r="E29" s="166">
        <f t="shared" si="4"/>
        <v>-5.1244509516837571</v>
      </c>
      <c r="F29" s="169">
        <f t="shared" si="5"/>
        <v>-5.1244509516837571</v>
      </c>
      <c r="G29" s="170"/>
      <c r="H29" s="168">
        <f t="shared" si="3"/>
        <v>0.46905006858710568</v>
      </c>
      <c r="I29" s="110"/>
      <c r="J29" s="110"/>
      <c r="K29" s="110"/>
    </row>
    <row r="30" spans="1:11" ht="16.5" customHeight="1">
      <c r="A30" s="163" t="s">
        <v>236</v>
      </c>
      <c r="B30" s="177">
        <f>[25]media_12!$D$8</f>
        <v>4.0589999999999993</v>
      </c>
      <c r="C30" s="166">
        <f t="shared" ref="C30:C35" si="6">100*B30/$B$8</f>
        <v>99.778761061946895</v>
      </c>
      <c r="D30" s="166">
        <f t="shared" ref="D30:D35" si="7">100*((B30/B29)-1)</f>
        <v>4.3981481481481177</v>
      </c>
      <c r="E30" s="166">
        <f t="shared" ref="E30:E35" si="8">100*((B30/$B$29)-1)</f>
        <v>4.3981481481481177</v>
      </c>
      <c r="F30" s="169">
        <f t="shared" ref="F30:F35" si="9">100*((B30/B18)-1)</f>
        <v>-0.95168374816987367</v>
      </c>
      <c r="G30" s="170"/>
      <c r="H30" s="168">
        <f t="shared" si="3"/>
        <v>0.4492896444115958</v>
      </c>
      <c r="I30" s="111"/>
      <c r="J30" s="110"/>
      <c r="K30" s="110"/>
    </row>
    <row r="31" spans="1:11" ht="16.5" customHeight="1">
      <c r="A31" s="163" t="s">
        <v>237</v>
      </c>
      <c r="B31" s="177">
        <f>[26]media_12!$D$8</f>
        <v>4.0589999999999993</v>
      </c>
      <c r="C31" s="166">
        <f t="shared" si="6"/>
        <v>99.778761061946895</v>
      </c>
      <c r="D31" s="166">
        <f t="shared" si="7"/>
        <v>0</v>
      </c>
      <c r="E31" s="166">
        <f t="shared" si="8"/>
        <v>4.3981481481481177</v>
      </c>
      <c r="F31" s="169">
        <f t="shared" si="9"/>
        <v>-0.95168374816987367</v>
      </c>
      <c r="G31" s="170"/>
      <c r="H31" s="168">
        <f t="shared" si="3"/>
        <v>0.4492896444115958</v>
      </c>
      <c r="I31" s="110"/>
      <c r="J31" s="110"/>
      <c r="K31" s="110"/>
    </row>
    <row r="32" spans="1:11" ht="16.5" customHeight="1">
      <c r="A32" s="163" t="s">
        <v>238</v>
      </c>
      <c r="B32" s="177">
        <f>[27]media_12!$D$8</f>
        <v>3.3914285714285719</v>
      </c>
      <c r="C32" s="166">
        <f t="shared" si="6"/>
        <v>83.368450625087803</v>
      </c>
      <c r="D32" s="166">
        <f t="shared" si="7"/>
        <v>-16.44669693450178</v>
      </c>
      <c r="E32" s="166">
        <f t="shared" si="8"/>
        <v>-12.771898883009991</v>
      </c>
      <c r="F32" s="169">
        <f t="shared" si="9"/>
        <v>-17.241860140835254</v>
      </c>
      <c r="G32" s="170">
        <f t="shared" ref="G32:G37" si="10">100*((C32/C8)-1)</f>
        <v>-16.631549374912204</v>
      </c>
      <c r="H32" s="168">
        <f t="shared" si="3"/>
        <v>0.53772816624543673</v>
      </c>
      <c r="I32" s="110"/>
      <c r="J32" s="110"/>
      <c r="K32" s="110"/>
    </row>
    <row r="33" spans="1:11" ht="16.5" customHeight="1">
      <c r="A33" s="163" t="s">
        <v>239</v>
      </c>
      <c r="B33" s="177">
        <f>[28]media_12!$D$8</f>
        <v>3.3914285714285719</v>
      </c>
      <c r="C33" s="166">
        <f t="shared" si="6"/>
        <v>83.368450625087803</v>
      </c>
      <c r="D33" s="166">
        <f t="shared" si="7"/>
        <v>0</v>
      </c>
      <c r="E33" s="166">
        <f t="shared" si="8"/>
        <v>-12.771898883009991</v>
      </c>
      <c r="F33" s="169">
        <f t="shared" si="9"/>
        <v>-17.241860140835254</v>
      </c>
      <c r="G33" s="170">
        <f t="shared" si="10"/>
        <v>-17.241860140835264</v>
      </c>
      <c r="H33" s="168">
        <f t="shared" si="3"/>
        <v>0.53772816624543673</v>
      </c>
      <c r="I33" s="110"/>
      <c r="J33" s="110"/>
      <c r="K33" s="110"/>
    </row>
    <row r="34" spans="1:11" ht="16.5" customHeight="1">
      <c r="A34" s="163" t="s">
        <v>240</v>
      </c>
      <c r="B34" s="177">
        <f>[29]media_12!$D$8</f>
        <v>3.3200000000000003</v>
      </c>
      <c r="C34" s="166">
        <f t="shared" si="6"/>
        <v>81.612586037364807</v>
      </c>
      <c r="D34" s="166">
        <f t="shared" si="7"/>
        <v>-2.1061499578770015</v>
      </c>
      <c r="E34" s="166">
        <f t="shared" si="8"/>
        <v>-14.609053497942392</v>
      </c>
      <c r="F34" s="169">
        <f t="shared" si="9"/>
        <v>-18.984870668618846</v>
      </c>
      <c r="G34" s="170">
        <f t="shared" si="10"/>
        <v>-19.162405648892133</v>
      </c>
      <c r="H34" s="168">
        <f t="shared" si="3"/>
        <v>0.54929718875502009</v>
      </c>
      <c r="I34" s="110"/>
      <c r="J34" s="110"/>
      <c r="K34" s="110"/>
    </row>
    <row r="35" spans="1:11" ht="16.5" customHeight="1">
      <c r="A35" s="163" t="s">
        <v>241</v>
      </c>
      <c r="B35" s="177">
        <f>[30]media_12!$D$8</f>
        <v>3.3914285714285719</v>
      </c>
      <c r="C35" s="166">
        <f t="shared" si="6"/>
        <v>83.368450625087803</v>
      </c>
      <c r="D35" s="166">
        <f t="shared" si="7"/>
        <v>2.1514629948364838</v>
      </c>
      <c r="E35" s="166">
        <f t="shared" si="8"/>
        <v>-12.771898883009991</v>
      </c>
      <c r="F35" s="169">
        <f t="shared" si="9"/>
        <v>-17.241860140835254</v>
      </c>
      <c r="G35" s="170">
        <f t="shared" si="10"/>
        <v>-17.322560423486809</v>
      </c>
      <c r="H35" s="168">
        <f t="shared" si="3"/>
        <v>0.53772816624543673</v>
      </c>
      <c r="I35" s="110"/>
      <c r="J35" s="110"/>
      <c r="K35" s="110"/>
    </row>
    <row r="36" spans="1:11" ht="16.5" customHeight="1">
      <c r="A36" s="163" t="s">
        <v>242</v>
      </c>
      <c r="B36" s="177">
        <f>[31]media_12!$D$8</f>
        <v>3.3914285714285719</v>
      </c>
      <c r="C36" s="166">
        <f t="shared" ref="C36:C41" si="11">100*B36/$B$8</f>
        <v>83.368450625087803</v>
      </c>
      <c r="D36" s="166">
        <f t="shared" ref="D36:D41" si="12">100*((B36/B35)-1)</f>
        <v>0</v>
      </c>
      <c r="E36" s="166">
        <f t="shared" ref="E36:E41" si="13">100*((B36/$B$29)-1)</f>
        <v>-12.771898883009991</v>
      </c>
      <c r="F36" s="169">
        <f t="shared" ref="F36:F41" si="14">100*((B36/B24)-1)</f>
        <v>-12.771898883009991</v>
      </c>
      <c r="G36" s="170">
        <f t="shared" si="10"/>
        <v>-17.322560423486809</v>
      </c>
      <c r="H36" s="168">
        <f t="shared" si="3"/>
        <v>0.53772816624543673</v>
      </c>
      <c r="I36" s="110"/>
      <c r="J36" s="110"/>
      <c r="K36" s="110"/>
    </row>
    <row r="37" spans="1:11" ht="16.5" customHeight="1">
      <c r="A37" s="163" t="s">
        <v>243</v>
      </c>
      <c r="B37" s="177">
        <f>[32]media_12!$D$8</f>
        <v>2.94</v>
      </c>
      <c r="C37" s="166">
        <f t="shared" si="11"/>
        <v>72.271386430678476</v>
      </c>
      <c r="D37" s="166">
        <f t="shared" si="12"/>
        <v>-13.310867733782661</v>
      </c>
      <c r="E37" s="166">
        <f t="shared" si="13"/>
        <v>-24.382716049382726</v>
      </c>
      <c r="F37" s="169">
        <f t="shared" si="14"/>
        <v>-24.382716049382726</v>
      </c>
      <c r="G37" s="170">
        <f t="shared" si="10"/>
        <v>-29.224843524313904</v>
      </c>
      <c r="H37" s="168">
        <f t="shared" si="3"/>
        <v>0.62029478458049903</v>
      </c>
      <c r="I37" s="110"/>
      <c r="J37" s="110"/>
      <c r="K37" s="110"/>
    </row>
    <row r="38" spans="1:11" ht="16.5" customHeight="1">
      <c r="A38" s="163" t="s">
        <v>244</v>
      </c>
      <c r="B38" s="177">
        <f>[33]media_12!$D$8</f>
        <v>2.94</v>
      </c>
      <c r="C38" s="166">
        <f t="shared" si="11"/>
        <v>72.271386430678476</v>
      </c>
      <c r="D38" s="166">
        <f t="shared" si="12"/>
        <v>0</v>
      </c>
      <c r="E38" s="166">
        <f t="shared" si="13"/>
        <v>-24.382716049382726</v>
      </c>
      <c r="F38" s="169">
        <f t="shared" si="14"/>
        <v>-24.382716049382726</v>
      </c>
      <c r="G38" s="170">
        <f t="shared" ref="G38:G43" si="15">100*((C38/C14)-1)</f>
        <v>-29.966650786088621</v>
      </c>
      <c r="H38" s="168">
        <f t="shared" si="3"/>
        <v>0.62029478458049903</v>
      </c>
      <c r="I38" s="110"/>
      <c r="J38" s="110"/>
      <c r="K38" s="110"/>
    </row>
    <row r="39" spans="1:11" ht="16.5" customHeight="1">
      <c r="A39" s="163" t="s">
        <v>245</v>
      </c>
      <c r="B39" s="177">
        <f>[34]media_12!$D$8</f>
        <v>2.94</v>
      </c>
      <c r="C39" s="166">
        <f t="shared" si="11"/>
        <v>72.271386430678476</v>
      </c>
      <c r="D39" s="166">
        <f t="shared" si="12"/>
        <v>0</v>
      </c>
      <c r="E39" s="166">
        <f t="shared" si="13"/>
        <v>-24.382716049382726</v>
      </c>
      <c r="F39" s="169">
        <f t="shared" si="14"/>
        <v>-24.382716049382726</v>
      </c>
      <c r="G39" s="170">
        <f t="shared" si="15"/>
        <v>-29.966650786088621</v>
      </c>
      <c r="H39" s="168">
        <f t="shared" si="3"/>
        <v>0.62029478458049903</v>
      </c>
      <c r="I39" s="110"/>
      <c r="J39" s="110"/>
      <c r="K39" s="110"/>
    </row>
    <row r="40" spans="1:11" ht="16.5" customHeight="1">
      <c r="A40" s="163" t="s">
        <v>246</v>
      </c>
      <c r="B40" s="177">
        <f>[35]media_12!$D$8</f>
        <v>2.94</v>
      </c>
      <c r="C40" s="166">
        <f t="shared" si="11"/>
        <v>72.271386430678476</v>
      </c>
      <c r="D40" s="166">
        <f t="shared" si="12"/>
        <v>0</v>
      </c>
      <c r="E40" s="166">
        <f t="shared" si="13"/>
        <v>-24.382716049382726</v>
      </c>
      <c r="F40" s="169">
        <f t="shared" si="14"/>
        <v>-24.382716049382726</v>
      </c>
      <c r="G40" s="170">
        <f t="shared" si="15"/>
        <v>-28.257686676427529</v>
      </c>
      <c r="H40" s="168">
        <f t="shared" si="3"/>
        <v>0.62029478458049903</v>
      </c>
      <c r="I40" s="110"/>
      <c r="J40" s="110"/>
      <c r="K40" s="110"/>
    </row>
    <row r="41" spans="1:11" ht="16.5" customHeight="1">
      <c r="A41" s="163" t="s">
        <v>247</v>
      </c>
      <c r="B41" s="177">
        <f>[36]media_12!$D$8</f>
        <v>2.94</v>
      </c>
      <c r="C41" s="166">
        <f t="shared" si="11"/>
        <v>72.271386430678476</v>
      </c>
      <c r="D41" s="166">
        <f t="shared" si="12"/>
        <v>0</v>
      </c>
      <c r="E41" s="166">
        <f t="shared" si="13"/>
        <v>-24.382716049382726</v>
      </c>
      <c r="F41" s="169">
        <f t="shared" si="14"/>
        <v>-24.382716049382726</v>
      </c>
      <c r="G41" s="170">
        <f t="shared" si="15"/>
        <v>-28.257686676427529</v>
      </c>
      <c r="H41" s="168">
        <f t="shared" si="3"/>
        <v>0.62029478458049903</v>
      </c>
      <c r="I41" s="110"/>
      <c r="J41" s="110"/>
      <c r="K41" s="110"/>
    </row>
    <row r="42" spans="1:11" ht="16.5" customHeight="1">
      <c r="A42" s="163" t="s">
        <v>248</v>
      </c>
      <c r="B42" s="177">
        <f>[37]media_12!$D$8</f>
        <v>2.9408333333333334</v>
      </c>
      <c r="C42" s="166">
        <f t="shared" ref="C42:C47" si="16">100*B42/$B$8</f>
        <v>72.291871517535242</v>
      </c>
      <c r="D42" s="166">
        <f t="shared" ref="D42:D47" si="17">100*((B42/B41)-1)</f>
        <v>2.8344671201807614E-2</v>
      </c>
      <c r="E42" s="166">
        <f t="shared" ref="E42:E47" si="18">100*((B42/$B$41)-1)</f>
        <v>2.8344671201807614E-2</v>
      </c>
      <c r="F42" s="169">
        <f t="shared" ref="F42:F47" si="19">100*((B42/B30)-1)</f>
        <v>-27.547836084421441</v>
      </c>
      <c r="G42" s="170">
        <f t="shared" si="15"/>
        <v>-28.237351553603396</v>
      </c>
      <c r="H42" s="168">
        <f t="shared" si="3"/>
        <v>0.62011901388495339</v>
      </c>
      <c r="I42" s="110"/>
      <c r="J42" s="110"/>
      <c r="K42" s="110"/>
    </row>
    <row r="43" spans="1:11" ht="16.5" customHeight="1">
      <c r="A43" s="163" t="s">
        <v>249</v>
      </c>
      <c r="B43" s="177">
        <f>[38]media_12!$D$8</f>
        <v>3.0574999999999997</v>
      </c>
      <c r="C43" s="166">
        <f t="shared" si="16"/>
        <v>75.159783677482793</v>
      </c>
      <c r="D43" s="166">
        <f t="shared" si="17"/>
        <v>3.9671294984414684</v>
      </c>
      <c r="E43" s="166">
        <f t="shared" si="18"/>
        <v>3.9965986394557618</v>
      </c>
      <c r="F43" s="169">
        <f t="shared" si="19"/>
        <v>-24.673564917467349</v>
      </c>
      <c r="G43" s="170">
        <f t="shared" si="15"/>
        <v>-25.390434358223533</v>
      </c>
      <c r="H43" s="168">
        <f t="shared" si="3"/>
        <v>0.59645680021804326</v>
      </c>
      <c r="I43" s="110"/>
      <c r="J43" s="110"/>
      <c r="K43" s="110"/>
    </row>
    <row r="44" spans="1:11" ht="16.5" customHeight="1">
      <c r="A44" s="163" t="s">
        <v>250</v>
      </c>
      <c r="B44" s="177">
        <f>[39]media_12!$D$8</f>
        <v>2.9816666666666669</v>
      </c>
      <c r="C44" s="166">
        <f t="shared" si="16"/>
        <v>73.295640773516894</v>
      </c>
      <c r="D44" s="166">
        <f t="shared" si="17"/>
        <v>-2.4802398473698362</v>
      </c>
      <c r="E44" s="166">
        <f t="shared" si="18"/>
        <v>1.4172335600907138</v>
      </c>
      <c r="F44" s="169">
        <f t="shared" si="19"/>
        <v>-12.082280258354405</v>
      </c>
      <c r="G44" s="170">
        <f t="shared" ref="G44:G49" si="20">100*((C44/C20)-1)</f>
        <v>-27.240930535220432</v>
      </c>
      <c r="H44" s="168">
        <f t="shared" si="3"/>
        <v>0.61162660704304084</v>
      </c>
      <c r="I44" s="110"/>
      <c r="J44" s="110"/>
      <c r="K44" s="110"/>
    </row>
    <row r="45" spans="1:11" ht="16.5" customHeight="1">
      <c r="A45" s="163" t="s">
        <v>252</v>
      </c>
      <c r="B45" s="177">
        <f>[40]media_12!$D$8</f>
        <v>2.9816666666666669</v>
      </c>
      <c r="C45" s="166">
        <f t="shared" si="16"/>
        <v>73.295640773516894</v>
      </c>
      <c r="D45" s="166">
        <f t="shared" si="17"/>
        <v>0</v>
      </c>
      <c r="E45" s="166">
        <f t="shared" si="18"/>
        <v>1.4172335600907138</v>
      </c>
      <c r="F45" s="169">
        <f t="shared" si="19"/>
        <v>-12.082280258354405</v>
      </c>
      <c r="G45" s="170">
        <f t="shared" si="20"/>
        <v>-27.240930535220432</v>
      </c>
      <c r="H45" s="168">
        <f t="shared" si="3"/>
        <v>0.61162660704304084</v>
      </c>
      <c r="I45" s="110"/>
      <c r="J45" s="110"/>
      <c r="K45" s="110"/>
    </row>
    <row r="46" spans="1:11" ht="16.5" customHeight="1">
      <c r="A46" s="163" t="s">
        <v>253</v>
      </c>
      <c r="B46" s="177">
        <f>[41]media_12!$D$8</f>
        <v>2.999166666666667</v>
      </c>
      <c r="C46" s="166">
        <f t="shared" si="16"/>
        <v>73.725827597509024</v>
      </c>
      <c r="D46" s="166">
        <f t="shared" si="17"/>
        <v>0.58692006707659061</v>
      </c>
      <c r="E46" s="166">
        <f t="shared" si="18"/>
        <v>2.0124716553288069</v>
      </c>
      <c r="F46" s="169">
        <f t="shared" si="19"/>
        <v>-9.6636546184738936</v>
      </c>
      <c r="G46" s="170">
        <f t="shared" si="20"/>
        <v>-26.813892955913452</v>
      </c>
      <c r="H46" s="168">
        <f t="shared" si="3"/>
        <v>0.60805779383161995</v>
      </c>
      <c r="I46" s="110"/>
      <c r="J46" s="110"/>
      <c r="K46" s="110"/>
    </row>
    <row r="47" spans="1:11" ht="16.5" customHeight="1">
      <c r="A47" s="163" t="s">
        <v>254</v>
      </c>
      <c r="B47" s="177">
        <f>[42]media_12!$D$8</f>
        <v>3.0158333333333336</v>
      </c>
      <c r="C47" s="166">
        <f t="shared" si="16"/>
        <v>74.135529334644389</v>
      </c>
      <c r="D47" s="166">
        <f t="shared" si="17"/>
        <v>0.55570991942206494</v>
      </c>
      <c r="E47" s="166">
        <f t="shared" si="18"/>
        <v>2.5793650793650924</v>
      </c>
      <c r="F47" s="169">
        <f t="shared" si="19"/>
        <v>-11.074838528503239</v>
      </c>
      <c r="G47" s="170">
        <f t="shared" si="20"/>
        <v>-26.407190499430623</v>
      </c>
      <c r="H47" s="168">
        <f t="shared" si="3"/>
        <v>0.60469743022934519</v>
      </c>
      <c r="I47" s="110"/>
      <c r="J47" s="110"/>
      <c r="K47" s="110"/>
    </row>
    <row r="48" spans="1:11" ht="16.5" customHeight="1">
      <c r="A48" s="163" t="s">
        <v>255</v>
      </c>
      <c r="B48" s="177">
        <f>[43]media_12!$D$8</f>
        <v>3.0158333333333336</v>
      </c>
      <c r="C48" s="166">
        <f t="shared" ref="C48:C54" si="21">100*B48/$B$8</f>
        <v>74.135529334644389</v>
      </c>
      <c r="D48" s="166">
        <f t="shared" ref="D48:D53" si="22">100*((B48/B47)-1)</f>
        <v>0</v>
      </c>
      <c r="E48" s="166">
        <f t="shared" ref="E48:E53" si="23">100*((B48/$B$41)-1)</f>
        <v>2.5793650793650924</v>
      </c>
      <c r="F48" s="169">
        <f t="shared" ref="F48:F53" si="24">100*((B48/B36)-1)</f>
        <v>-11.074838528503239</v>
      </c>
      <c r="G48" s="170">
        <f t="shared" si="20"/>
        <v>-22.43227023319616</v>
      </c>
      <c r="H48" s="168">
        <f t="shared" si="3"/>
        <v>0.60469743022934519</v>
      </c>
      <c r="I48" s="110"/>
      <c r="J48" s="110"/>
      <c r="K48" s="110"/>
    </row>
    <row r="49" spans="1:11" ht="16.5" customHeight="1">
      <c r="A49" s="163" t="str">
        <f>Diesel_S10!A49</f>
        <v>AGOSTO|15</v>
      </c>
      <c r="B49" s="177">
        <f>[44]media_12!$D$8</f>
        <v>3.0158333333333336</v>
      </c>
      <c r="C49" s="166">
        <f t="shared" si="21"/>
        <v>74.135529334644389</v>
      </c>
      <c r="D49" s="166">
        <f t="shared" si="22"/>
        <v>0</v>
      </c>
      <c r="E49" s="166">
        <f t="shared" si="23"/>
        <v>2.5793650793650924</v>
      </c>
      <c r="F49" s="169">
        <f t="shared" si="24"/>
        <v>2.5793650793650924</v>
      </c>
      <c r="G49" s="170">
        <f t="shared" si="20"/>
        <v>-22.43227023319616</v>
      </c>
      <c r="H49" s="168">
        <f t="shared" si="3"/>
        <v>0.60469743022934519</v>
      </c>
      <c r="I49" s="110"/>
      <c r="J49" s="110"/>
      <c r="K49" s="110"/>
    </row>
    <row r="50" spans="1:11" ht="16.5" customHeight="1">
      <c r="A50" s="163" t="str">
        <f>Diesel_S10!A50</f>
        <v>SETEMBRO|15</v>
      </c>
      <c r="B50" s="177">
        <f>[45]media_12!$D$8</f>
        <v>3.0408333333333335</v>
      </c>
      <c r="C50" s="166">
        <f t="shared" si="21"/>
        <v>74.750081940347442</v>
      </c>
      <c r="D50" s="166">
        <f t="shared" si="22"/>
        <v>0.82895827576678904</v>
      </c>
      <c r="E50" s="166">
        <f t="shared" si="23"/>
        <v>3.4297052154194985</v>
      </c>
      <c r="F50" s="169">
        <f t="shared" si="24"/>
        <v>3.4297052154194985</v>
      </c>
      <c r="G50" s="170">
        <f t="shared" ref="G50:G55" si="25">100*((C50/C26)-1)</f>
        <v>-21.78926611796982</v>
      </c>
      <c r="H50" s="168">
        <f t="shared" si="3"/>
        <v>0.59972595231570303</v>
      </c>
      <c r="I50" s="110"/>
      <c r="J50" s="110"/>
      <c r="K50" s="110"/>
    </row>
    <row r="51" spans="1:11" ht="16.5" customHeight="1">
      <c r="A51" s="163" t="str">
        <f>Diesel_S10!A51</f>
        <v>OUTUBRO|15</v>
      </c>
      <c r="B51" s="177">
        <f>[46]media_12!$D$8</f>
        <v>3.0158333333333336</v>
      </c>
      <c r="C51" s="166">
        <f t="shared" si="21"/>
        <v>74.135529334644389</v>
      </c>
      <c r="D51" s="166">
        <f t="shared" si="22"/>
        <v>-0.82214305289119993</v>
      </c>
      <c r="E51" s="166">
        <f t="shared" si="23"/>
        <v>2.5793650793650924</v>
      </c>
      <c r="F51" s="169">
        <f t="shared" si="24"/>
        <v>2.5793650793650924</v>
      </c>
      <c r="G51" s="170">
        <f t="shared" si="25"/>
        <v>-22.43227023319616</v>
      </c>
      <c r="H51" s="168">
        <f t="shared" si="3"/>
        <v>0.60469743022934519</v>
      </c>
      <c r="I51" s="110"/>
      <c r="J51" s="110"/>
      <c r="K51" s="110"/>
    </row>
    <row r="52" spans="1:11" ht="16.5" customHeight="1">
      <c r="A52" s="163" t="str">
        <f>Diesel_S10!A52</f>
        <v>NOVEMBRO|15</v>
      </c>
      <c r="B52" s="177">
        <f>[47]media_12!$D$8</f>
        <v>3.0158333333333336</v>
      </c>
      <c r="C52" s="166">
        <f t="shared" si="21"/>
        <v>74.135529334644389</v>
      </c>
      <c r="D52" s="166">
        <f t="shared" si="22"/>
        <v>0</v>
      </c>
      <c r="E52" s="166">
        <f t="shared" si="23"/>
        <v>2.5793650793650924</v>
      </c>
      <c r="F52" s="169">
        <f t="shared" si="24"/>
        <v>2.5793650793650924</v>
      </c>
      <c r="G52" s="170">
        <f t="shared" si="25"/>
        <v>-22.43227023319616</v>
      </c>
      <c r="H52" s="168">
        <f t="shared" si="3"/>
        <v>0.60469743022934519</v>
      </c>
      <c r="I52" s="110"/>
      <c r="J52" s="110"/>
      <c r="K52" s="110"/>
    </row>
    <row r="53" spans="1:11" ht="16.5" customHeight="1">
      <c r="A53" s="163" t="str">
        <f>Diesel_S10!A53</f>
        <v>DEZEMBRO|15</v>
      </c>
      <c r="B53" s="177">
        <f>[48]media_12!$D$8</f>
        <v>3.0741666666666667</v>
      </c>
      <c r="C53" s="166">
        <f t="shared" si="21"/>
        <v>75.569485414618171</v>
      </c>
      <c r="D53" s="166">
        <f t="shared" si="22"/>
        <v>1.934235976789167</v>
      </c>
      <c r="E53" s="166">
        <f t="shared" si="23"/>
        <v>4.5634920634920695</v>
      </c>
      <c r="F53" s="169">
        <f t="shared" si="24"/>
        <v>4.5634920634920695</v>
      </c>
      <c r="G53" s="170">
        <f t="shared" si="25"/>
        <v>-20.93192729766804</v>
      </c>
      <c r="H53" s="168">
        <f t="shared" si="3"/>
        <v>0.59322309568988896</v>
      </c>
      <c r="I53" s="110"/>
      <c r="J53" s="110"/>
      <c r="K53" s="110"/>
    </row>
    <row r="54" spans="1:11" ht="16.5" customHeight="1">
      <c r="A54" s="163" t="str">
        <f>Diesel_S10!A54</f>
        <v>JANEIRO|16</v>
      </c>
      <c r="B54" s="177">
        <f>[49]media_12!$D$8</f>
        <v>2.9408333333333334</v>
      </c>
      <c r="C54" s="166">
        <f t="shared" si="21"/>
        <v>72.291871517535242</v>
      </c>
      <c r="D54" s="166">
        <f t="shared" ref="D54:D59" si="26">100*((B54/B53)-1)</f>
        <v>-4.3372187584711286</v>
      </c>
      <c r="E54" s="166">
        <f t="shared" ref="E54:E59" si="27">100*((B54/$B$53)-1)</f>
        <v>-4.3372187584711286</v>
      </c>
      <c r="F54" s="169">
        <f t="shared" ref="F54:F59" si="28">100*((B54/B42)-1)</f>
        <v>0</v>
      </c>
      <c r="G54" s="170">
        <f t="shared" si="25"/>
        <v>-27.547836084421441</v>
      </c>
      <c r="H54" s="168">
        <f t="shared" si="3"/>
        <v>0.62011901388495339</v>
      </c>
      <c r="I54" s="110"/>
      <c r="J54" s="110"/>
      <c r="K54" s="110"/>
    </row>
    <row r="55" spans="1:11" ht="16.5" customHeight="1">
      <c r="A55" s="163" t="str">
        <f>Diesel_S10!A55</f>
        <v>FEVEREIRO|16</v>
      </c>
      <c r="B55" s="177">
        <f>[50]media_12!$D$8</f>
        <v>2.5245000000000002</v>
      </c>
      <c r="C55" s="166">
        <f t="shared" ref="C55:C60" si="29">100*B55/$B$8</f>
        <v>62.057522123893818</v>
      </c>
      <c r="D55" s="166">
        <f t="shared" si="26"/>
        <v>-14.156984981581179</v>
      </c>
      <c r="E55" s="166">
        <f t="shared" si="27"/>
        <v>-17.880184331797231</v>
      </c>
      <c r="F55" s="169">
        <f t="shared" si="28"/>
        <v>-17.432542927228113</v>
      </c>
      <c r="G55" s="170">
        <f t="shared" si="25"/>
        <v>-37.804878048780466</v>
      </c>
      <c r="H55" s="168">
        <f t="shared" si="3"/>
        <v>0.72238727140687931</v>
      </c>
      <c r="I55" s="110"/>
      <c r="J55" s="110"/>
      <c r="K55" s="110"/>
    </row>
    <row r="56" spans="1:11" ht="16.5" customHeight="1">
      <c r="A56" s="163" t="str">
        <f>Diesel_S10!A56</f>
        <v>MARÇO|16</v>
      </c>
      <c r="B56" s="177">
        <f>[51]media_12!$D$8</f>
        <v>2.5245000000000002</v>
      </c>
      <c r="C56" s="166">
        <f t="shared" si="29"/>
        <v>62.057522123893818</v>
      </c>
      <c r="D56" s="166">
        <f t="shared" si="26"/>
        <v>0</v>
      </c>
      <c r="E56" s="166">
        <f t="shared" si="27"/>
        <v>-17.880184331797231</v>
      </c>
      <c r="F56" s="169">
        <f t="shared" si="28"/>
        <v>-15.332588038010064</v>
      </c>
      <c r="G56" s="170">
        <f t="shared" ref="G56:G61" si="30">100*((C56/C32)-1)</f>
        <v>-25.562342038753151</v>
      </c>
      <c r="H56" s="168">
        <f t="shared" si="3"/>
        <v>0.72238727140687931</v>
      </c>
      <c r="I56" s="110"/>
      <c r="J56" s="110"/>
      <c r="K56" s="110"/>
    </row>
    <row r="57" spans="1:11" ht="16.5" customHeight="1">
      <c r="A57" s="163" t="str">
        <f>Diesel_S10!A57</f>
        <v>ABRIL|16</v>
      </c>
      <c r="B57" s="177">
        <f>[52]media_12!$D$8</f>
        <v>2.5245000000000002</v>
      </c>
      <c r="C57" s="166">
        <f t="shared" si="29"/>
        <v>62.057522123893818</v>
      </c>
      <c r="D57" s="166">
        <f t="shared" si="26"/>
        <v>0</v>
      </c>
      <c r="E57" s="166">
        <f t="shared" si="27"/>
        <v>-17.880184331797231</v>
      </c>
      <c r="F57" s="169">
        <f t="shared" si="28"/>
        <v>-15.332588038010064</v>
      </c>
      <c r="G57" s="170">
        <f t="shared" si="30"/>
        <v>-25.562342038753151</v>
      </c>
      <c r="H57" s="168">
        <f t="shared" si="3"/>
        <v>0.72238727140687931</v>
      </c>
      <c r="I57" s="110"/>
      <c r="J57" s="110"/>
      <c r="K57" s="110"/>
    </row>
    <row r="58" spans="1:11" ht="16.5" customHeight="1">
      <c r="A58" s="163" t="str">
        <f>Diesel_S10!A58</f>
        <v>MAIO|16</v>
      </c>
      <c r="B58" s="177">
        <f>[53]media_12!$D$8</f>
        <v>2.5245000000000002</v>
      </c>
      <c r="C58" s="166">
        <f t="shared" si="29"/>
        <v>62.057522123893818</v>
      </c>
      <c r="D58" s="166">
        <f t="shared" si="26"/>
        <v>0</v>
      </c>
      <c r="E58" s="166">
        <f t="shared" si="27"/>
        <v>-17.880184331797231</v>
      </c>
      <c r="F58" s="169">
        <f t="shared" si="28"/>
        <v>-15.826618505140322</v>
      </c>
      <c r="G58" s="170">
        <f t="shared" si="30"/>
        <v>-23.960843373493969</v>
      </c>
      <c r="H58" s="168">
        <f t="shared" si="3"/>
        <v>0.72238727140687931</v>
      </c>
      <c r="I58" s="110"/>
      <c r="J58" s="110"/>
      <c r="K58" s="110"/>
    </row>
    <row r="59" spans="1:11" ht="16.5" customHeight="1">
      <c r="A59" s="163" t="str">
        <f>Diesel_S10!A59</f>
        <v>JUNHO|16</v>
      </c>
      <c r="B59" s="177">
        <f>[54]media_12!$D$8</f>
        <v>2.4578333333333338</v>
      </c>
      <c r="C59" s="166">
        <f t="shared" si="29"/>
        <v>60.418715175352361</v>
      </c>
      <c r="D59" s="166">
        <f t="shared" si="26"/>
        <v>-2.6407869545124307</v>
      </c>
      <c r="E59" s="166">
        <f t="shared" si="27"/>
        <v>-20.048793711032786</v>
      </c>
      <c r="F59" s="169">
        <f t="shared" si="28"/>
        <v>-18.502348715114671</v>
      </c>
      <c r="G59" s="170">
        <f t="shared" si="30"/>
        <v>-27.528081999438349</v>
      </c>
      <c r="H59" s="168">
        <f t="shared" si="3"/>
        <v>0.74198141994982025</v>
      </c>
      <c r="I59" s="110"/>
      <c r="J59" s="110"/>
      <c r="K59" s="110"/>
    </row>
    <row r="60" spans="1:11" ht="16.5" customHeight="1">
      <c r="A60" s="163" t="str">
        <f>Diesel_S10!A60</f>
        <v>JULHO|16</v>
      </c>
      <c r="B60" s="177">
        <f>[55]media_12!$D$8</f>
        <v>2.4578333333333338</v>
      </c>
      <c r="C60" s="166">
        <f t="shared" si="29"/>
        <v>60.418715175352361</v>
      </c>
      <c r="D60" s="166">
        <f t="shared" ref="D60" si="31">100*((B60/B59)-1)</f>
        <v>0</v>
      </c>
      <c r="E60" s="166">
        <f t="shared" ref="E60" si="32">100*((B60/$B$53)-1)</f>
        <v>-20.048793711032786</v>
      </c>
      <c r="F60" s="169">
        <f t="shared" ref="F60" si="33">100*((B60/B48)-1)</f>
        <v>-18.502348715114671</v>
      </c>
      <c r="G60" s="170">
        <f t="shared" si="30"/>
        <v>-27.528081999438349</v>
      </c>
      <c r="H60" s="168">
        <f t="shared" si="3"/>
        <v>0.74198141994982025</v>
      </c>
      <c r="I60" s="110"/>
      <c r="J60" s="110"/>
      <c r="K60" s="110"/>
    </row>
    <row r="61" spans="1:11" ht="16.5" customHeight="1">
      <c r="A61" s="163" t="str">
        <f>Diesel_S10!A61</f>
        <v>AGOSTO|16</v>
      </c>
      <c r="B61" s="177">
        <f>[56]media_12!$D$8</f>
        <v>2.4578333333333338</v>
      </c>
      <c r="C61" s="166">
        <f t="shared" ref="C61" si="34">100*B61/$B$8</f>
        <v>60.418715175352361</v>
      </c>
      <c r="D61" s="166">
        <f t="shared" ref="D61" si="35">100*((B61/B60)-1)</f>
        <v>0</v>
      </c>
      <c r="E61" s="166">
        <f t="shared" ref="E61" si="36">100*((B61/$B$53)-1)</f>
        <v>-20.048793711032786</v>
      </c>
      <c r="F61" s="169">
        <f t="shared" ref="F61" si="37">100*((B61/B49)-1)</f>
        <v>-18.502348715114671</v>
      </c>
      <c r="G61" s="170">
        <f t="shared" si="30"/>
        <v>-16.400226757369609</v>
      </c>
      <c r="H61" s="168">
        <f t="shared" si="3"/>
        <v>0.74198141994982025</v>
      </c>
      <c r="I61" s="110"/>
      <c r="J61" s="110"/>
      <c r="K61" s="110"/>
    </row>
    <row r="62" spans="1:11" ht="16.5" customHeight="1">
      <c r="A62" s="163" t="str">
        <f>Diesel_S10!A62</f>
        <v>SETEMBRO|16</v>
      </c>
      <c r="B62" s="177">
        <f>[57]media_12!$D$8</f>
        <v>2.4578333333333338</v>
      </c>
      <c r="C62" s="166">
        <f t="shared" ref="C62" si="38">100*B62/$B$8</f>
        <v>60.418715175352361</v>
      </c>
      <c r="D62" s="166">
        <f t="shared" ref="D62" si="39">100*((B62/B61)-1)</f>
        <v>0</v>
      </c>
      <c r="E62" s="166">
        <f t="shared" ref="E62" si="40">100*((B62/$B$53)-1)</f>
        <v>-20.048793711032786</v>
      </c>
      <c r="F62" s="169">
        <f t="shared" ref="F62" si="41">100*((B62/B50)-1)</f>
        <v>-19.17237599342284</v>
      </c>
      <c r="G62" s="170">
        <f t="shared" ref="G62" si="42">100*((C62/C38)-1)</f>
        <v>-16.400226757369609</v>
      </c>
      <c r="H62" s="168">
        <f t="shared" si="3"/>
        <v>0.74198141994982025</v>
      </c>
      <c r="I62" s="110"/>
      <c r="J62" s="110"/>
      <c r="K62" s="110"/>
    </row>
    <row r="63" spans="1:11" ht="16.5" customHeight="1">
      <c r="A63" s="163" t="str">
        <f>Diesel_S10!A63</f>
        <v>OUTUBRO|16</v>
      </c>
      <c r="B63" s="177">
        <f>[58]media_12!$D$8</f>
        <v>2.4578333333333338</v>
      </c>
      <c r="C63" s="166">
        <f t="shared" ref="C63" si="43">100*B63/$B$8</f>
        <v>60.418715175352361</v>
      </c>
      <c r="D63" s="166">
        <f t="shared" ref="D63" si="44">100*((B63/B62)-1)</f>
        <v>0</v>
      </c>
      <c r="E63" s="166">
        <f t="shared" ref="E63" si="45">100*((B63/$B$53)-1)</f>
        <v>-20.048793711032786</v>
      </c>
      <c r="F63" s="169">
        <f t="shared" ref="F63" si="46">100*((B63/B51)-1)</f>
        <v>-18.502348715114671</v>
      </c>
      <c r="G63" s="170">
        <f t="shared" ref="G63" si="47">100*((C63/C39)-1)</f>
        <v>-16.400226757369609</v>
      </c>
      <c r="H63" s="168">
        <f t="shared" si="3"/>
        <v>0.74198141994982025</v>
      </c>
      <c r="I63" s="110"/>
      <c r="J63" s="110"/>
      <c r="K63" s="110"/>
    </row>
    <row r="64" spans="1:11" ht="16.5" customHeight="1">
      <c r="A64" s="163" t="str">
        <f>Diesel_S10!A64</f>
        <v>NOVEMBRO|16</v>
      </c>
      <c r="B64" s="177">
        <f>[59]media_12!$D$8</f>
        <v>2.3911666666666673</v>
      </c>
      <c r="C64" s="166">
        <f t="shared" ref="C64" si="48">100*B64/$B$8</f>
        <v>58.779908226810903</v>
      </c>
      <c r="D64" s="166">
        <f t="shared" ref="D64" si="49">100*((B64/B63)-1)</f>
        <v>-2.7124160846273671</v>
      </c>
      <c r="E64" s="166">
        <f t="shared" ref="E64" si="50">100*((B64/$B$53)-1)</f>
        <v>-22.217403090268352</v>
      </c>
      <c r="F64" s="169">
        <f t="shared" ref="F64" si="51">100*((B64/B52)-1)</f>
        <v>-20.712904117159425</v>
      </c>
      <c r="G64" s="170">
        <f t="shared" ref="G64" si="52">100*((C64/C40)-1)</f>
        <v>-18.667800453514715</v>
      </c>
      <c r="H64" s="168">
        <f t="shared" si="3"/>
        <v>0.76266815362096596</v>
      </c>
      <c r="I64" s="110"/>
      <c r="J64" s="110"/>
      <c r="K64" s="110"/>
    </row>
    <row r="65" spans="1:11" ht="16.5" customHeight="1">
      <c r="A65" s="163" t="str">
        <f>Diesel_S10!A65</f>
        <v>DEZEMBRO|16</v>
      </c>
      <c r="B65" s="177">
        <f>[60]media_12!$D$8</f>
        <v>2.3911666666666673</v>
      </c>
      <c r="C65" s="166">
        <f t="shared" ref="C65" si="53">100*B65/$B$8</f>
        <v>58.779908226810903</v>
      </c>
      <c r="D65" s="166">
        <f t="shared" ref="D65" si="54">100*((B65/B64)-1)</f>
        <v>0</v>
      </c>
      <c r="E65" s="166">
        <f t="shared" ref="E65" si="55">100*((B65/$B$53)-1)</f>
        <v>-22.217403090268352</v>
      </c>
      <c r="F65" s="169">
        <f t="shared" ref="F65" si="56">100*((B65/B53)-1)</f>
        <v>-22.217403090268352</v>
      </c>
      <c r="G65" s="170">
        <f t="shared" ref="G65" si="57">100*((C65/C41)-1)</f>
        <v>-18.667800453514715</v>
      </c>
      <c r="H65" s="168">
        <f t="shared" si="3"/>
        <v>0.76266815362096596</v>
      </c>
      <c r="I65" s="110"/>
      <c r="J65" s="110"/>
      <c r="K65" s="110"/>
    </row>
    <row r="66" spans="1:11" ht="16.5" customHeight="1">
      <c r="A66" s="163" t="str">
        <f>Diesel_S10!A66</f>
        <v>JANEIRO|17</v>
      </c>
      <c r="B66" s="177">
        <f>[61]media_12!$D$8</f>
        <v>2.3911666666666673</v>
      </c>
      <c r="C66" s="166">
        <f t="shared" ref="C66" si="58">100*B66/$B$8</f>
        <v>58.779908226810903</v>
      </c>
      <c r="D66" s="166">
        <f t="shared" ref="D66" si="59">100*((B66/B65)-1)</f>
        <v>0</v>
      </c>
      <c r="E66" s="166">
        <f t="shared" ref="E66:E71" si="60">100*((B66/$B$65)-1)</f>
        <v>0</v>
      </c>
      <c r="F66" s="169">
        <f t="shared" ref="F66" si="61">100*((B66/B54)-1)</f>
        <v>-18.690847265514286</v>
      </c>
      <c r="G66" s="170">
        <f t="shared" ref="G66" si="62">100*((C66/C42)-1)</f>
        <v>-18.690847265514286</v>
      </c>
      <c r="H66" s="168">
        <f t="shared" si="3"/>
        <v>0.76266815362096596</v>
      </c>
      <c r="I66" s="110"/>
      <c r="J66" s="110"/>
      <c r="K66" s="110"/>
    </row>
    <row r="67" spans="1:11" ht="16.5" customHeight="1">
      <c r="A67" s="163" t="str">
        <f>Diesel_S10!A67</f>
        <v>FEVEREIRO|17</v>
      </c>
      <c r="B67" s="177">
        <f>[62]media_12!$D$8</f>
        <v>2.3911666666666673</v>
      </c>
      <c r="C67" s="166">
        <f t="shared" ref="C67" si="63">100*B67/$B$8</f>
        <v>58.779908226810903</v>
      </c>
      <c r="D67" s="166">
        <f t="shared" ref="D67" si="64">100*((B67/B66)-1)</f>
        <v>0</v>
      </c>
      <c r="E67" s="166">
        <f t="shared" si="60"/>
        <v>0</v>
      </c>
      <c r="F67" s="169">
        <f t="shared" ref="F67" si="65">100*((B67/B55)-1)</f>
        <v>-5.281573909024873</v>
      </c>
      <c r="G67" s="170">
        <f t="shared" ref="G67" si="66">100*((C67/C43)-1)</f>
        <v>-21.793404197328947</v>
      </c>
      <c r="H67" s="168">
        <f t="shared" si="3"/>
        <v>0.76266815362096596</v>
      </c>
      <c r="I67" s="110"/>
      <c r="J67" s="110"/>
      <c r="K67" s="110"/>
    </row>
    <row r="68" spans="1:11" ht="16.5" customHeight="1">
      <c r="A68" s="163" t="str">
        <f>Diesel_S10!A68</f>
        <v>MARÇO|17</v>
      </c>
      <c r="B68" s="177">
        <f>[63]media_12!$D$8</f>
        <v>2.3911666666666673</v>
      </c>
      <c r="C68" s="166">
        <f t="shared" ref="C68" si="67">100*B68/$B$8</f>
        <v>58.779908226810903</v>
      </c>
      <c r="D68" s="166">
        <f t="shared" ref="D68" si="68">100*((B68/B67)-1)</f>
        <v>0</v>
      </c>
      <c r="E68" s="166">
        <f t="shared" si="60"/>
        <v>0</v>
      </c>
      <c r="F68" s="169">
        <f t="shared" ref="F68" si="69">100*((B68/B56)-1)</f>
        <v>-5.281573909024873</v>
      </c>
      <c r="G68" s="170">
        <f t="shared" ref="G68" si="70">100*((C68/C44)-1)</f>
        <v>-19.804359977641127</v>
      </c>
      <c r="H68" s="168">
        <f t="shared" si="3"/>
        <v>0.76266815362096596</v>
      </c>
      <c r="I68" s="110"/>
      <c r="J68" s="110"/>
      <c r="K68" s="110"/>
    </row>
    <row r="69" spans="1:11" ht="16.5" customHeight="1">
      <c r="A69" s="163" t="str">
        <f>Diesel_S10!A69</f>
        <v>ABRIL|17</v>
      </c>
      <c r="B69" s="177">
        <f>[64]media_12!$D$8</f>
        <v>2.3911666666666673</v>
      </c>
      <c r="C69" s="166">
        <f t="shared" ref="C69" si="71">100*B69/$B$8</f>
        <v>58.779908226810903</v>
      </c>
      <c r="D69" s="166">
        <f t="shared" ref="D69" si="72">100*((B69/B68)-1)</f>
        <v>0</v>
      </c>
      <c r="E69" s="166">
        <f t="shared" si="60"/>
        <v>0</v>
      </c>
      <c r="F69" s="169">
        <f t="shared" ref="F69" si="73">100*((B69/B57)-1)</f>
        <v>-5.281573909024873</v>
      </c>
      <c r="G69" s="170">
        <f t="shared" ref="G69" si="74">100*((C69/C45)-1)</f>
        <v>-19.804359977641127</v>
      </c>
      <c r="H69" s="168">
        <f t="shared" si="3"/>
        <v>0.76266815362096596</v>
      </c>
      <c r="I69" s="110"/>
      <c r="J69" s="110"/>
      <c r="K69" s="110"/>
    </row>
    <row r="70" spans="1:11" ht="16.5" customHeight="1">
      <c r="A70" s="163" t="str">
        <f>Diesel_S10!A70</f>
        <v>MAIO|17</v>
      </c>
      <c r="B70" s="177">
        <f>[65]media_12!$D$8</f>
        <v>2.3911666666666673</v>
      </c>
      <c r="C70" s="166">
        <f t="shared" ref="C70" si="75">100*B70/$B$8</f>
        <v>58.779908226810903</v>
      </c>
      <c r="D70" s="166">
        <f t="shared" ref="D70" si="76">100*((B70/B69)-1)</f>
        <v>0</v>
      </c>
      <c r="E70" s="166">
        <f t="shared" si="60"/>
        <v>0</v>
      </c>
      <c r="F70" s="169">
        <f t="shared" ref="F70" si="77">100*((B70/B58)-1)</f>
        <v>-5.281573909024873</v>
      </c>
      <c r="G70" s="170">
        <f t="shared" ref="G70" si="78">100*((C70/C46)-1)</f>
        <v>-20.272297860516797</v>
      </c>
      <c r="H70" s="168">
        <f t="shared" si="3"/>
        <v>0.76266815362096596</v>
      </c>
      <c r="I70" s="110"/>
      <c r="J70" s="110"/>
      <c r="K70" s="110"/>
    </row>
    <row r="71" spans="1:11" ht="16.5" customHeight="1">
      <c r="A71" s="163" t="str">
        <f>Diesel_S10!A71</f>
        <v>JUNHO|17</v>
      </c>
      <c r="B71" s="177">
        <f>[66]media_12!$D$8</f>
        <v>2.3911666666666673</v>
      </c>
      <c r="C71" s="166">
        <f t="shared" ref="C71" si="79">100*B71/$B$8</f>
        <v>58.779908226810903</v>
      </c>
      <c r="D71" s="166">
        <f t="shared" ref="D71" si="80">100*((B71/B70)-1)</f>
        <v>0</v>
      </c>
      <c r="E71" s="166">
        <f t="shared" si="60"/>
        <v>0</v>
      </c>
      <c r="F71" s="169">
        <f t="shared" ref="F71" si="81">100*((B71/B59)-1)</f>
        <v>-2.7124160846273671</v>
      </c>
      <c r="G71" s="170">
        <f t="shared" ref="G71" si="82">100*((C71/C47)-1)</f>
        <v>-20.712904117159415</v>
      </c>
      <c r="H71" s="168">
        <f t="shared" si="3"/>
        <v>0.76266815362096596</v>
      </c>
      <c r="I71" s="110"/>
      <c r="J71" s="110"/>
      <c r="K71" s="110"/>
    </row>
    <row r="72" spans="1:11" ht="16.5" customHeight="1">
      <c r="A72" s="163" t="str">
        <f>Diesel_S10!A72</f>
        <v>JULHO|17</v>
      </c>
      <c r="B72" s="177">
        <f>[67]media_12!$D$8</f>
        <v>2.3911666666666673</v>
      </c>
      <c r="C72" s="166">
        <f t="shared" ref="C72" si="83">100*B72/$B$8</f>
        <v>58.779908226810903</v>
      </c>
      <c r="D72" s="166">
        <f t="shared" ref="D72" si="84">100*((B72/B71)-1)</f>
        <v>0</v>
      </c>
      <c r="E72" s="166">
        <f t="shared" ref="E72" si="85">100*((B72/$B$65)-1)</f>
        <v>0</v>
      </c>
      <c r="F72" s="169">
        <f t="shared" ref="F72" si="86">100*((B72/B60)-1)</f>
        <v>-2.7124160846273671</v>
      </c>
      <c r="G72" s="170">
        <f t="shared" ref="G72" si="87">100*((C72/C48)-1)</f>
        <v>-20.712904117159415</v>
      </c>
      <c r="H72" s="168">
        <f t="shared" si="3"/>
        <v>0.76266815362096596</v>
      </c>
      <c r="I72" s="110"/>
      <c r="J72" s="110"/>
      <c r="K72" s="110"/>
    </row>
    <row r="73" spans="1:11" ht="16.5" customHeight="1">
      <c r="A73" s="163" t="str">
        <f>Diesel_S10!A73</f>
        <v>AGOSTO|17</v>
      </c>
      <c r="B73" s="177">
        <f>[68]media_12!$D$8</f>
        <v>2.3911666666666673</v>
      </c>
      <c r="C73" s="166">
        <f t="shared" ref="C73" si="88">100*B73/$B$8</f>
        <v>58.779908226810903</v>
      </c>
      <c r="D73" s="166">
        <f t="shared" ref="D73" si="89">100*((B73/B72)-1)</f>
        <v>0</v>
      </c>
      <c r="E73" s="166">
        <f t="shared" ref="E73" si="90">100*((B73/$B$65)-1)</f>
        <v>0</v>
      </c>
      <c r="F73" s="169">
        <f t="shared" ref="F73" si="91">100*((B73/B61)-1)</f>
        <v>-2.7124160846273671</v>
      </c>
      <c r="G73" s="170">
        <f t="shared" ref="G73" si="92">100*((C73/C49)-1)</f>
        <v>-20.712904117159415</v>
      </c>
      <c r="H73" s="168">
        <f t="shared" si="3"/>
        <v>0.76266815362096596</v>
      </c>
      <c r="I73" s="110"/>
      <c r="J73" s="110"/>
      <c r="K73" s="110"/>
    </row>
    <row r="74" spans="1:11" ht="16.5" customHeight="1">
      <c r="A74" s="163" t="str">
        <f>Diesel_S10!A74</f>
        <v>SETEMBRO|17</v>
      </c>
      <c r="B74" s="177">
        <f>[69]media_12!$D$8</f>
        <v>2.3911666666666673</v>
      </c>
      <c r="C74" s="166">
        <f t="shared" ref="C74" si="93">100*B74/$B$8</f>
        <v>58.779908226810903</v>
      </c>
      <c r="D74" s="166">
        <f t="shared" ref="D74" si="94">100*((B74/B73)-1)</f>
        <v>0</v>
      </c>
      <c r="E74" s="166">
        <f t="shared" ref="E74" si="95">100*((B74/$B$65)-1)</f>
        <v>0</v>
      </c>
      <c r="F74" s="169">
        <f t="shared" ref="F74" si="96">100*((B74/B62)-1)</f>
        <v>-2.7124160846273671</v>
      </c>
      <c r="G74" s="170">
        <f t="shared" ref="G74" si="97">100*((C74/C50)-1)</f>
        <v>-21.364757467799389</v>
      </c>
      <c r="H74" s="168">
        <f t="shared" ref="H74:H110" si="98">$B$110/B74</f>
        <v>0.76266815362096596</v>
      </c>
      <c r="I74" s="110"/>
      <c r="J74" s="110"/>
      <c r="K74" s="110"/>
    </row>
    <row r="75" spans="1:11" ht="16.5" customHeight="1">
      <c r="A75" s="163" t="str">
        <f>Diesel_S10!A75</f>
        <v>OUTUBRO|17</v>
      </c>
      <c r="B75" s="177">
        <f>[70]media_12!$D$8</f>
        <v>2.3911666666666673</v>
      </c>
      <c r="C75" s="166">
        <f t="shared" ref="C75" si="99">100*B75/$B$8</f>
        <v>58.779908226810903</v>
      </c>
      <c r="D75" s="166">
        <f t="shared" ref="D75" si="100">100*((B75/B74)-1)</f>
        <v>0</v>
      </c>
      <c r="E75" s="166">
        <f t="shared" ref="E75" si="101">100*((B75/$B$65)-1)</f>
        <v>0</v>
      </c>
      <c r="F75" s="169">
        <f t="shared" ref="F75" si="102">100*((B75/B63)-1)</f>
        <v>-2.7124160846273671</v>
      </c>
      <c r="G75" s="170">
        <f t="shared" ref="G75" si="103">100*((C75/C51)-1)</f>
        <v>-20.712904117159415</v>
      </c>
      <c r="H75" s="168">
        <f t="shared" si="98"/>
        <v>0.76266815362096596</v>
      </c>
      <c r="I75" s="110"/>
      <c r="J75" s="110"/>
      <c r="K75" s="110"/>
    </row>
    <row r="76" spans="1:11" ht="16.5" customHeight="1">
      <c r="A76" s="163" t="str">
        <f>Diesel_S10!A76</f>
        <v>NOVEMBRO|17</v>
      </c>
      <c r="B76" s="177">
        <f>[71]media_12!$D$8</f>
        <v>1.823666666666667</v>
      </c>
      <c r="C76" s="166">
        <f t="shared" ref="C76" si="104">100*B76/$B$8</f>
        <v>44.829564077351698</v>
      </c>
      <c r="D76" s="166">
        <f t="shared" ref="D76" si="105">100*((B76/B75)-1)</f>
        <v>-23.733184637903403</v>
      </c>
      <c r="E76" s="166">
        <f t="shared" ref="E76" si="106">100*((B76/$B$65)-1)</f>
        <v>-23.733184637903403</v>
      </c>
      <c r="F76" s="169">
        <f t="shared" ref="F76" si="107">100*((B76/B64)-1)</f>
        <v>-23.733184637903403</v>
      </c>
      <c r="G76" s="170">
        <f t="shared" ref="G76" si="108">100*((C76/C52)-1)</f>
        <v>-39.530256977065484</v>
      </c>
      <c r="H76" s="168">
        <f t="shared" si="98"/>
        <v>1</v>
      </c>
      <c r="I76" s="110"/>
      <c r="J76" s="110"/>
      <c r="K76" s="110"/>
    </row>
    <row r="77" spans="1:11" ht="16.5" customHeight="1">
      <c r="A77" s="163" t="str">
        <f>Diesel_S10!A77</f>
        <v>DEZEMBRO|17</v>
      </c>
      <c r="B77" s="177">
        <f>[72]media_12!$D$8</f>
        <v>1.823666666666667</v>
      </c>
      <c r="C77" s="166">
        <f t="shared" ref="C77" si="109">100*B77/$B$8</f>
        <v>44.829564077351698</v>
      </c>
      <c r="D77" s="166">
        <f t="shared" ref="D77" si="110">100*((B77/B76)-1)</f>
        <v>0</v>
      </c>
      <c r="E77" s="166">
        <f t="shared" ref="E77" si="111">100*((B77/$B$65)-1)</f>
        <v>-23.733184637903403</v>
      </c>
      <c r="F77" s="169">
        <f t="shared" ref="F77" si="112">100*((B77/B65)-1)</f>
        <v>-23.733184637903403</v>
      </c>
      <c r="G77" s="170">
        <f t="shared" ref="G77" si="113">100*((C77/C53)-1)</f>
        <v>-40.677690431011115</v>
      </c>
      <c r="H77" s="168">
        <f t="shared" si="98"/>
        <v>1</v>
      </c>
      <c r="I77" s="110"/>
      <c r="J77" s="110"/>
      <c r="K77" s="110"/>
    </row>
    <row r="78" spans="1:11" ht="16.5" customHeight="1">
      <c r="A78" s="163" t="str">
        <f>Diesel_S10!A78</f>
        <v>JANEIRO|18</v>
      </c>
      <c r="B78" s="177">
        <f>[73]media_12!$D$8</f>
        <v>1.823666666666667</v>
      </c>
      <c r="C78" s="166">
        <f t="shared" ref="C78" si="114">100*B78/$B$8</f>
        <v>44.829564077351698</v>
      </c>
      <c r="D78" s="166">
        <f t="shared" ref="D78" si="115">100*((B78/B77)-1)</f>
        <v>0</v>
      </c>
      <c r="E78" s="166">
        <f t="shared" ref="E78:E83" si="116">100*((B78/$B$77)-1)</f>
        <v>0</v>
      </c>
      <c r="F78" s="169">
        <f t="shared" ref="F78" si="117">100*((B78/B66)-1)</f>
        <v>-23.733184637903403</v>
      </c>
      <c r="G78" s="170">
        <f t="shared" ref="G78" si="118">100*((C78/C54)-1)</f>
        <v>-37.988098611504675</v>
      </c>
      <c r="H78" s="168">
        <f t="shared" si="98"/>
        <v>1</v>
      </c>
      <c r="I78" s="110"/>
      <c r="J78" s="110"/>
      <c r="K78" s="110"/>
    </row>
    <row r="79" spans="1:11" ht="16.5" customHeight="1">
      <c r="A79" s="163" t="str">
        <f>Diesel_S10!A79</f>
        <v>FEVEREIRO|18</v>
      </c>
      <c r="B79" s="177">
        <f>[74]media_12!$D$8</f>
        <v>1.823666666666667</v>
      </c>
      <c r="C79" s="166">
        <f t="shared" ref="C79" si="119">100*B79/$B$8</f>
        <v>44.829564077351698</v>
      </c>
      <c r="D79" s="166">
        <f t="shared" ref="D79" si="120">100*((B79/B78)-1)</f>
        <v>0</v>
      </c>
      <c r="E79" s="166">
        <f t="shared" si="116"/>
        <v>0</v>
      </c>
      <c r="F79" s="169">
        <f t="shared" ref="F79" si="121">100*((B79/B67)-1)</f>
        <v>-23.733184637903403</v>
      </c>
      <c r="G79" s="170">
        <f t="shared" ref="G79" si="122">100*((C79/C55)-1)</f>
        <v>-27.761272859312069</v>
      </c>
      <c r="H79" s="168">
        <f t="shared" si="98"/>
        <v>1</v>
      </c>
      <c r="I79" s="110"/>
      <c r="J79" s="110"/>
      <c r="K79" s="110"/>
    </row>
    <row r="80" spans="1:11" ht="16.5" customHeight="1">
      <c r="A80" s="163" t="str">
        <f>Diesel_S10!A80</f>
        <v>MARÇO|18</v>
      </c>
      <c r="B80" s="177">
        <f>[75]media_12!$D$8</f>
        <v>1.823666666666667</v>
      </c>
      <c r="C80" s="166">
        <f t="shared" ref="C80" si="123">100*B80/$B$8</f>
        <v>44.829564077351698</v>
      </c>
      <c r="D80" s="166">
        <f t="shared" ref="D80" si="124">100*((B80/B79)-1)</f>
        <v>0</v>
      </c>
      <c r="E80" s="166">
        <f t="shared" si="116"/>
        <v>0</v>
      </c>
      <c r="F80" s="169">
        <f t="shared" ref="F80" si="125">100*((B80/B68)-1)</f>
        <v>-23.733184637903403</v>
      </c>
      <c r="G80" s="170">
        <f t="shared" ref="G80" si="126">100*((C80/C56)-1)</f>
        <v>-27.761272859312069</v>
      </c>
      <c r="H80" s="168">
        <f t="shared" si="98"/>
        <v>1</v>
      </c>
      <c r="I80" s="110"/>
      <c r="J80" s="110"/>
      <c r="K80" s="110"/>
    </row>
    <row r="81" spans="1:11" ht="16.5" customHeight="1">
      <c r="A81" s="163" t="str">
        <f>Diesel_S10!A81</f>
        <v>ABRIL|18</v>
      </c>
      <c r="B81" s="177">
        <f>[76]media_12!$D$8</f>
        <v>1.823666666666667</v>
      </c>
      <c r="C81" s="166">
        <f t="shared" ref="C81" si="127">100*B81/$B$8</f>
        <v>44.829564077351698</v>
      </c>
      <c r="D81" s="166">
        <f t="shared" ref="D81" si="128">100*((B81/B80)-1)</f>
        <v>0</v>
      </c>
      <c r="E81" s="166">
        <f t="shared" si="116"/>
        <v>0</v>
      </c>
      <c r="F81" s="169">
        <f t="shared" ref="F81" si="129">100*((B81/B69)-1)</f>
        <v>-23.733184637903403</v>
      </c>
      <c r="G81" s="170">
        <f t="shared" ref="G81" si="130">100*((C81/C57)-1)</f>
        <v>-27.761272859312069</v>
      </c>
      <c r="H81" s="168">
        <f t="shared" si="98"/>
        <v>1</v>
      </c>
      <c r="I81" s="110"/>
      <c r="J81" s="110"/>
      <c r="K81" s="110"/>
    </row>
    <row r="82" spans="1:11" ht="16.5" customHeight="1">
      <c r="A82" s="163" t="str">
        <f>Diesel_S10!A82</f>
        <v>MAIO|18</v>
      </c>
      <c r="B82" s="177">
        <f>[77]media_12!$D$8</f>
        <v>1.823666666666667</v>
      </c>
      <c r="C82" s="166">
        <f t="shared" ref="C82" si="131">100*B82/$B$8</f>
        <v>44.829564077351698</v>
      </c>
      <c r="D82" s="166">
        <f t="shared" ref="D82" si="132">100*((B82/B81)-1)</f>
        <v>0</v>
      </c>
      <c r="E82" s="166">
        <f t="shared" si="116"/>
        <v>0</v>
      </c>
      <c r="F82" s="169">
        <f t="shared" ref="F82" si="133">100*((B82/B70)-1)</f>
        <v>-23.733184637903403</v>
      </c>
      <c r="G82" s="170">
        <f t="shared" ref="G82" si="134">100*((C82/C58)-1)</f>
        <v>-27.761272859312069</v>
      </c>
      <c r="H82" s="168">
        <f t="shared" si="98"/>
        <v>1</v>
      </c>
      <c r="I82" s="110"/>
      <c r="J82" s="110"/>
      <c r="K82" s="110"/>
    </row>
    <row r="83" spans="1:11" ht="16.5" customHeight="1">
      <c r="A83" s="196" t="str">
        <f>Diesel_S10!A83</f>
        <v>JUNHO|18</v>
      </c>
      <c r="B83" s="203">
        <f>[78]media_12!$D$8</f>
        <v>1.823666666666667</v>
      </c>
      <c r="C83" s="198">
        <f t="shared" ref="C83" si="135">100*B83/$B$8</f>
        <v>44.829564077351698</v>
      </c>
      <c r="D83" s="198">
        <f t="shared" ref="D83" si="136">100*((B83/B82)-1)</f>
        <v>0</v>
      </c>
      <c r="E83" s="198">
        <f t="shared" si="116"/>
        <v>0</v>
      </c>
      <c r="F83" s="199">
        <f t="shared" ref="F83" si="137">100*((B83/B71)-1)</f>
        <v>-23.733184637903403</v>
      </c>
      <c r="G83" s="200">
        <f t="shared" ref="G83" si="138">100*((C83/C59)-1)</f>
        <v>-25.801858005017976</v>
      </c>
      <c r="H83" s="168">
        <f t="shared" si="98"/>
        <v>1</v>
      </c>
      <c r="I83" s="110"/>
      <c r="J83" s="110"/>
      <c r="K83" s="110"/>
    </row>
    <row r="84" spans="1:11" ht="16.5" customHeight="1">
      <c r="A84" s="196" t="str">
        <f>Diesel_S10!A84</f>
        <v>JULHO|18</v>
      </c>
      <c r="B84" s="203">
        <f>[79]media_12!$D$8</f>
        <v>1.823666666666667</v>
      </c>
      <c r="C84" s="198">
        <f t="shared" ref="C84" si="139">100*B84/$B$8</f>
        <v>44.829564077351698</v>
      </c>
      <c r="D84" s="198">
        <f t="shared" ref="D84" si="140">100*((B84/B83)-1)</f>
        <v>0</v>
      </c>
      <c r="E84" s="198">
        <f t="shared" ref="E84" si="141">100*((B84/$B$77)-1)</f>
        <v>0</v>
      </c>
      <c r="F84" s="199">
        <f t="shared" ref="F84" si="142">100*((B84/B72)-1)</f>
        <v>-23.733184637903403</v>
      </c>
      <c r="G84" s="200">
        <f t="shared" ref="G84" si="143">100*((C84/C60)-1)</f>
        <v>-25.801858005017976</v>
      </c>
      <c r="H84" s="168">
        <f t="shared" si="98"/>
        <v>1</v>
      </c>
      <c r="I84" s="110"/>
      <c r="J84" s="110"/>
      <c r="K84" s="110"/>
    </row>
    <row r="85" spans="1:11" ht="16.5" customHeight="1">
      <c r="A85" s="196" t="str">
        <f>Diesel_S10!A85</f>
        <v>AGOSTO|18</v>
      </c>
      <c r="B85" s="203">
        <f>[80]media_12!$D$8</f>
        <v>1.7903333333333336</v>
      </c>
      <c r="C85" s="198">
        <f t="shared" ref="C85" si="144">100*B85/$B$8</f>
        <v>44.010160603080969</v>
      </c>
      <c r="D85" s="198">
        <f t="shared" ref="D85" si="145">100*((B85/B84)-1)</f>
        <v>-1.8278194114421553</v>
      </c>
      <c r="E85" s="198">
        <f t="shared" ref="E85" si="146">100*((B85/$B$77)-1)</f>
        <v>-1.8278194114421553</v>
      </c>
      <c r="F85" s="199">
        <f t="shared" ref="F85" si="147">100*((B85/B73)-1)</f>
        <v>-25.127204293580551</v>
      </c>
      <c r="G85" s="200">
        <f t="shared" ref="G85" si="148">100*((C85/C61)-1)</f>
        <v>-27.158066047331666</v>
      </c>
      <c r="H85" s="168">
        <f t="shared" si="98"/>
        <v>1.0186185067957549</v>
      </c>
      <c r="I85" s="110"/>
      <c r="J85" s="110"/>
      <c r="K85" s="110"/>
    </row>
    <row r="86" spans="1:11" ht="16.5" customHeight="1">
      <c r="A86" s="196" t="str">
        <f>Diesel_S10!A86</f>
        <v>SETEMBRO|18</v>
      </c>
      <c r="B86" s="203">
        <f>[81]media_12!$D$8</f>
        <v>1.7903333333333336</v>
      </c>
      <c r="C86" s="198">
        <f t="shared" ref="C86" si="149">100*B86/$B$8</f>
        <v>44.010160603080969</v>
      </c>
      <c r="D86" s="198">
        <f t="shared" ref="D86" si="150">100*((B86/B85)-1)</f>
        <v>0</v>
      </c>
      <c r="E86" s="198">
        <f t="shared" ref="E86" si="151">100*((B86/$B$77)-1)</f>
        <v>-1.8278194114421553</v>
      </c>
      <c r="F86" s="199">
        <f t="shared" ref="F86" si="152">100*((B86/B74)-1)</f>
        <v>-25.127204293580551</v>
      </c>
      <c r="G86" s="200">
        <f t="shared" ref="G86" si="153">100*((C86/C62)-1)</f>
        <v>-27.158066047331666</v>
      </c>
      <c r="H86" s="168">
        <f t="shared" si="98"/>
        <v>1.0186185067957549</v>
      </c>
      <c r="I86" s="110"/>
      <c r="J86" s="110"/>
      <c r="K86" s="110"/>
    </row>
    <row r="87" spans="1:11" ht="16.5" customHeight="1">
      <c r="A87" s="196" t="str">
        <f>Diesel_S10!A87</f>
        <v>OUTUBRO|18</v>
      </c>
      <c r="B87" s="203">
        <f>[82]media_12!$D$8</f>
        <v>1.7903333333333336</v>
      </c>
      <c r="C87" s="198">
        <f t="shared" ref="C87" si="154">100*B87/$B$8</f>
        <v>44.010160603080969</v>
      </c>
      <c r="D87" s="198">
        <f t="shared" ref="D87" si="155">100*((B87/B86)-1)</f>
        <v>0</v>
      </c>
      <c r="E87" s="198">
        <f t="shared" ref="E87" si="156">100*((B87/$B$77)-1)</f>
        <v>-1.8278194114421553</v>
      </c>
      <c r="F87" s="199">
        <f t="shared" ref="F87" si="157">100*((B87/B75)-1)</f>
        <v>-25.127204293580551</v>
      </c>
      <c r="G87" s="200">
        <f t="shared" ref="G87" si="158">100*((C87/C63)-1)</f>
        <v>-27.158066047331666</v>
      </c>
      <c r="H87" s="168">
        <f t="shared" si="98"/>
        <v>1.0186185067957549</v>
      </c>
      <c r="I87" s="110"/>
      <c r="J87" s="110"/>
      <c r="K87" s="110"/>
    </row>
    <row r="88" spans="1:11" ht="16.5" customHeight="1">
      <c r="A88" s="196" t="str">
        <f>Diesel_S10!A88</f>
        <v>NOVEMBRO|18</v>
      </c>
      <c r="B88" s="203">
        <f>[83]media_12!$D$8</f>
        <v>1.7903333333333336</v>
      </c>
      <c r="C88" s="198">
        <f t="shared" ref="C88" si="159">100*B88/$B$8</f>
        <v>44.010160603080969</v>
      </c>
      <c r="D88" s="198">
        <f t="shared" ref="D88" si="160">100*((B88/B87)-1)</f>
        <v>0</v>
      </c>
      <c r="E88" s="198">
        <f t="shared" ref="E88" si="161">100*((B88/$B$77)-1)</f>
        <v>-1.8278194114421553</v>
      </c>
      <c r="F88" s="199">
        <f t="shared" ref="F88" si="162">100*((B88/B76)-1)</f>
        <v>-1.8278194114421553</v>
      </c>
      <c r="G88" s="200">
        <f t="shared" ref="G88" si="163">100*((C88/C64)-1)</f>
        <v>-25.127204293580551</v>
      </c>
      <c r="H88" s="168">
        <f t="shared" si="98"/>
        <v>1.0186185067957549</v>
      </c>
      <c r="I88" s="110"/>
      <c r="J88" s="110"/>
      <c r="K88" s="110"/>
    </row>
    <row r="89" spans="1:11" ht="16.5" customHeight="1">
      <c r="A89" s="196" t="str">
        <f>Diesel_S10!A89</f>
        <v>DEZEMBRO|18</v>
      </c>
      <c r="B89" s="203">
        <f>[84]media_12!$D$8</f>
        <v>1.7903333333333336</v>
      </c>
      <c r="C89" s="198">
        <f t="shared" ref="C89" si="164">100*B89/$B$8</f>
        <v>44.010160603080969</v>
      </c>
      <c r="D89" s="198">
        <f t="shared" ref="D89" si="165">100*((B89/B88)-1)</f>
        <v>0</v>
      </c>
      <c r="E89" s="198">
        <f t="shared" ref="E89" si="166">100*((B89/$B$77)-1)</f>
        <v>-1.8278194114421553</v>
      </c>
      <c r="F89" s="199">
        <f t="shared" ref="F89" si="167">100*((B89/B77)-1)</f>
        <v>-1.8278194114421553</v>
      </c>
      <c r="G89" s="200">
        <f t="shared" ref="G89" si="168">100*((C89/C65)-1)</f>
        <v>-25.127204293580551</v>
      </c>
      <c r="H89" s="168">
        <f t="shared" si="98"/>
        <v>1.0186185067957549</v>
      </c>
      <c r="I89" s="110"/>
      <c r="J89" s="110"/>
      <c r="K89" s="110"/>
    </row>
    <row r="90" spans="1:11" ht="16.5" customHeight="1">
      <c r="A90" s="196" t="str">
        <f>Diesel_S10!A90</f>
        <v>JANEIRO|19</v>
      </c>
      <c r="B90" s="203">
        <f>[85]media_12!$D$8</f>
        <v>1.7903333333333336</v>
      </c>
      <c r="C90" s="198">
        <f t="shared" ref="C90" si="169">100*B90/$B$8</f>
        <v>44.010160603080969</v>
      </c>
      <c r="D90" s="198">
        <f t="shared" ref="D90" si="170">100*((B90/B89)-1)</f>
        <v>0</v>
      </c>
      <c r="E90" s="198">
        <f t="shared" ref="E90:E95" si="171">100*((B90/$B$89)-1)</f>
        <v>0</v>
      </c>
      <c r="F90" s="199">
        <f t="shared" ref="F90" si="172">100*((B90/B78)-1)</f>
        <v>-1.8278194114421553</v>
      </c>
      <c r="G90" s="200">
        <f t="shared" ref="G90" si="173">100*((C90/C66)-1)</f>
        <v>-25.127204293580551</v>
      </c>
      <c r="H90" s="168">
        <f t="shared" si="98"/>
        <v>1.0186185067957549</v>
      </c>
      <c r="I90" s="110"/>
      <c r="J90" s="110"/>
      <c r="K90" s="110"/>
    </row>
    <row r="91" spans="1:11" ht="16.5" customHeight="1">
      <c r="A91" s="196" t="str">
        <f>Diesel_S10!A91</f>
        <v>FEVEREIRO|19</v>
      </c>
      <c r="B91" s="203">
        <f>[86]media_12!$D$8</f>
        <v>1.7653333333333334</v>
      </c>
      <c r="C91" s="198">
        <f t="shared" ref="C91" si="174">100*B91/$B$8</f>
        <v>43.395607997377915</v>
      </c>
      <c r="D91" s="198">
        <f t="shared" ref="D91" si="175">100*((B91/B90)-1)</f>
        <v>-1.3963880096816261</v>
      </c>
      <c r="E91" s="198">
        <f t="shared" si="171"/>
        <v>-1.3963880096816261</v>
      </c>
      <c r="F91" s="199">
        <f t="shared" ref="F91" si="176">100*((B91/B79)-1)</f>
        <v>-3.1986839700237746</v>
      </c>
      <c r="G91" s="200">
        <f t="shared" ref="G91" si="177">100*((C91/C67)-1)</f>
        <v>-26.17271903533841</v>
      </c>
      <c r="H91" s="168">
        <f t="shared" si="98"/>
        <v>1.0330438066465257</v>
      </c>
      <c r="I91" s="110"/>
      <c r="J91" s="110"/>
      <c r="K91" s="110"/>
    </row>
    <row r="92" spans="1:11" ht="16.5" customHeight="1">
      <c r="A92" s="196" t="str">
        <f>Diesel_S10!A92</f>
        <v>MARÇO|19</v>
      </c>
      <c r="B92" s="203">
        <f>[87]media_12!$D$8</f>
        <v>1.7653333333333334</v>
      </c>
      <c r="C92" s="198">
        <f t="shared" ref="C92" si="178">100*B92/$B$8</f>
        <v>43.395607997377915</v>
      </c>
      <c r="D92" s="198">
        <f t="shared" ref="D92" si="179">100*((B92/B91)-1)</f>
        <v>0</v>
      </c>
      <c r="E92" s="198">
        <f t="shared" si="171"/>
        <v>-1.3963880096816261</v>
      </c>
      <c r="F92" s="199">
        <f t="shared" ref="F92" si="180">100*((B92/B80)-1)</f>
        <v>-3.1986839700237746</v>
      </c>
      <c r="G92" s="200">
        <f t="shared" ref="G92" si="181">100*((C92/C68)-1)</f>
        <v>-26.17271903533841</v>
      </c>
      <c r="H92" s="168">
        <f t="shared" si="98"/>
        <v>1.0330438066465257</v>
      </c>
      <c r="I92" s="110"/>
      <c r="J92" s="110"/>
      <c r="K92" s="110"/>
    </row>
    <row r="93" spans="1:11" ht="16.5" customHeight="1">
      <c r="A93" s="196" t="str">
        <f>Diesel_S10!A93</f>
        <v>ABRIL|19</v>
      </c>
      <c r="B93" s="203">
        <f>[88]media_12!$D$8</f>
        <v>1.7653333333333334</v>
      </c>
      <c r="C93" s="198">
        <f t="shared" ref="C93" si="182">100*B93/$B$8</f>
        <v>43.395607997377915</v>
      </c>
      <c r="D93" s="198">
        <f t="shared" ref="D93" si="183">100*((B93/B92)-1)</f>
        <v>0</v>
      </c>
      <c r="E93" s="198">
        <f t="shared" si="171"/>
        <v>-1.3963880096816261</v>
      </c>
      <c r="F93" s="199">
        <f t="shared" ref="F93" si="184">100*((B93/B81)-1)</f>
        <v>-3.1986839700237746</v>
      </c>
      <c r="G93" s="200">
        <f t="shared" ref="G93" si="185">100*((C93/C69)-1)</f>
        <v>-26.17271903533841</v>
      </c>
      <c r="H93" s="168">
        <f t="shared" si="98"/>
        <v>1.0330438066465257</v>
      </c>
      <c r="I93" s="110"/>
      <c r="J93" s="110"/>
      <c r="K93" s="110"/>
    </row>
    <row r="94" spans="1:11" ht="16.5" customHeight="1">
      <c r="A94" s="196" t="str">
        <f>Diesel_S10!A94</f>
        <v>MAIO|19</v>
      </c>
      <c r="B94" s="203">
        <f>[89]media_12!$D$8</f>
        <v>1.823666666666667</v>
      </c>
      <c r="C94" s="198">
        <f t="shared" ref="C94" si="186">100*B94/$B$8</f>
        <v>44.829564077351698</v>
      </c>
      <c r="D94" s="198">
        <f t="shared" ref="D94" si="187">100*((B94/B93)-1)</f>
        <v>3.3043806646525731</v>
      </c>
      <c r="E94" s="198">
        <f t="shared" si="171"/>
        <v>1.8618506795754941</v>
      </c>
      <c r="F94" s="199">
        <f t="shared" ref="F94" si="188">100*((B94/B82)-1)</f>
        <v>0</v>
      </c>
      <c r="G94" s="200">
        <f t="shared" ref="G94" si="189">100*((C94/C70)-1)</f>
        <v>-23.733184637903403</v>
      </c>
      <c r="H94" s="168">
        <f t="shared" si="98"/>
        <v>1</v>
      </c>
      <c r="I94" s="110"/>
      <c r="J94" s="110"/>
      <c r="K94" s="110"/>
    </row>
    <row r="95" spans="1:11" ht="16.5" customHeight="1">
      <c r="A95" s="196" t="str">
        <f>Diesel_S10!A95</f>
        <v>JUNHO|19</v>
      </c>
      <c r="B95" s="203">
        <f>[90]media_12!$D$8</f>
        <v>1.823666666666667</v>
      </c>
      <c r="C95" s="198">
        <f t="shared" ref="C95" si="190">100*B95/$B$8</f>
        <v>44.829564077351698</v>
      </c>
      <c r="D95" s="198">
        <f t="shared" ref="D95" si="191">100*((B95/B94)-1)</f>
        <v>0</v>
      </c>
      <c r="E95" s="198">
        <f t="shared" si="171"/>
        <v>1.8618506795754941</v>
      </c>
      <c r="F95" s="199">
        <f t="shared" ref="F95" si="192">100*((B95/B83)-1)</f>
        <v>0</v>
      </c>
      <c r="G95" s="200">
        <f t="shared" ref="G95" si="193">100*((C95/C71)-1)</f>
        <v>-23.733184637903403</v>
      </c>
      <c r="H95" s="168">
        <f t="shared" si="98"/>
        <v>1</v>
      </c>
      <c r="I95" s="110"/>
      <c r="J95" s="110"/>
      <c r="K95" s="110"/>
    </row>
    <row r="96" spans="1:11" ht="16.5" customHeight="1">
      <c r="A96" s="196" t="str">
        <f>Diesel_S10!A96</f>
        <v>JULHO|19</v>
      </c>
      <c r="B96" s="203">
        <f>[91]media_12!$D$8</f>
        <v>1.7903333333333336</v>
      </c>
      <c r="C96" s="198">
        <f t="shared" ref="C96" si="194">100*B96/$B$8</f>
        <v>44.010160603080969</v>
      </c>
      <c r="D96" s="198">
        <f t="shared" ref="D96" si="195">100*((B96/B95)-1)</f>
        <v>-1.8278194114421553</v>
      </c>
      <c r="E96" s="198">
        <f t="shared" ref="E96" si="196">100*((B96/$B$89)-1)</f>
        <v>0</v>
      </c>
      <c r="F96" s="199">
        <f t="shared" ref="F96" si="197">100*((B96/B84)-1)</f>
        <v>-1.8278194114421553</v>
      </c>
      <c r="G96" s="200">
        <f t="shared" ref="G96" si="198">100*((C96/C72)-1)</f>
        <v>-25.127204293580551</v>
      </c>
      <c r="H96" s="168">
        <f t="shared" si="98"/>
        <v>1.0186185067957549</v>
      </c>
      <c r="I96" s="110"/>
      <c r="J96" s="110"/>
      <c r="K96" s="110"/>
    </row>
    <row r="97" spans="1:12" ht="16.5" customHeight="1">
      <c r="A97" s="196" t="str">
        <f>Diesel_S10!A97</f>
        <v>AGOSTO|19</v>
      </c>
      <c r="B97" s="203">
        <f>[92]media_12!$D$8</f>
        <v>1.7903333333333336</v>
      </c>
      <c r="C97" s="198">
        <f t="shared" ref="C97" si="199">100*B97/$B$8</f>
        <v>44.010160603080969</v>
      </c>
      <c r="D97" s="198">
        <f t="shared" ref="D97" si="200">100*((B97/B96)-1)</f>
        <v>0</v>
      </c>
      <c r="E97" s="198">
        <f t="shared" ref="E97" si="201">100*((B97/$B$89)-1)</f>
        <v>0</v>
      </c>
      <c r="F97" s="199">
        <f t="shared" ref="F97" si="202">100*((B97/B85)-1)</f>
        <v>0</v>
      </c>
      <c r="G97" s="200">
        <f t="shared" ref="G97" si="203">100*((C97/C73)-1)</f>
        <v>-25.127204293580551</v>
      </c>
      <c r="H97" s="168">
        <f t="shared" si="98"/>
        <v>1.0186185067957549</v>
      </c>
      <c r="I97" s="110"/>
      <c r="J97" s="110"/>
      <c r="K97" s="110"/>
    </row>
    <row r="98" spans="1:12" ht="16.5" customHeight="1">
      <c r="A98" s="196" t="str">
        <f>Diesel_S10!A98</f>
        <v>SETEMBRO|19</v>
      </c>
      <c r="B98" s="203">
        <f>[93]media_12!$D$8</f>
        <v>1.7903333333333336</v>
      </c>
      <c r="C98" s="198">
        <f t="shared" ref="C98" si="204">100*B98/$B$8</f>
        <v>44.010160603080969</v>
      </c>
      <c r="D98" s="198">
        <f t="shared" ref="D98" si="205">100*((B98/B97)-1)</f>
        <v>0</v>
      </c>
      <c r="E98" s="198">
        <f t="shared" ref="E98" si="206">100*((B98/$B$89)-1)</f>
        <v>0</v>
      </c>
      <c r="F98" s="199">
        <f t="shared" ref="F98" si="207">100*((B98/B86)-1)</f>
        <v>0</v>
      </c>
      <c r="G98" s="200">
        <f t="shared" ref="G98" si="208">100*((C98/C74)-1)</f>
        <v>-25.127204293580551</v>
      </c>
      <c r="H98" s="168">
        <f t="shared" si="98"/>
        <v>1.0186185067957549</v>
      </c>
      <c r="I98" s="110"/>
      <c r="J98" s="110"/>
      <c r="K98" s="110"/>
    </row>
    <row r="99" spans="1:12" ht="16.5" customHeight="1">
      <c r="A99" s="196" t="str">
        <f>Diesel_S10!A99</f>
        <v>OUTUBRO|19</v>
      </c>
      <c r="B99" s="203">
        <f>[94]media_12!$D$8</f>
        <v>1.7903333333333336</v>
      </c>
      <c r="C99" s="198">
        <f t="shared" ref="C99" si="209">100*B99/$B$8</f>
        <v>44.010160603080969</v>
      </c>
      <c r="D99" s="198">
        <f t="shared" ref="D99" si="210">100*((B99/B98)-1)</f>
        <v>0</v>
      </c>
      <c r="E99" s="198">
        <f t="shared" ref="E99" si="211">100*((B99/$B$89)-1)</f>
        <v>0</v>
      </c>
      <c r="F99" s="199">
        <f t="shared" ref="F99" si="212">100*((B99/B87)-1)</f>
        <v>0</v>
      </c>
      <c r="G99" s="200">
        <f t="shared" ref="G99" si="213">100*((C99/C75)-1)</f>
        <v>-25.127204293580551</v>
      </c>
      <c r="H99" s="168">
        <f t="shared" si="98"/>
        <v>1.0186185067957549</v>
      </c>
      <c r="I99" s="110"/>
      <c r="J99" s="110"/>
      <c r="K99" s="110"/>
    </row>
    <row r="100" spans="1:12" ht="16.5" customHeight="1">
      <c r="A100" s="196" t="str">
        <f>Diesel_S10!A100</f>
        <v>NOVEMBRO|19</v>
      </c>
      <c r="B100" s="203">
        <f>[95]media_12!$D$8</f>
        <v>1.7903333333333336</v>
      </c>
      <c r="C100" s="198">
        <f t="shared" ref="C100" si="214">100*B100/$B$8</f>
        <v>44.010160603080969</v>
      </c>
      <c r="D100" s="198">
        <f t="shared" ref="D100" si="215">100*((B100/B99)-1)</f>
        <v>0</v>
      </c>
      <c r="E100" s="198">
        <f t="shared" ref="E100" si="216">100*((B100/$B$89)-1)</f>
        <v>0</v>
      </c>
      <c r="F100" s="199">
        <f t="shared" ref="F100" si="217">100*((B100/B88)-1)</f>
        <v>0</v>
      </c>
      <c r="G100" s="200">
        <f t="shared" ref="G100" si="218">100*((C100/C76)-1)</f>
        <v>-1.8278194114421442</v>
      </c>
      <c r="H100" s="168">
        <f t="shared" si="98"/>
        <v>1.0186185067957549</v>
      </c>
      <c r="I100" s="110"/>
      <c r="J100" s="110"/>
      <c r="K100" s="110"/>
    </row>
    <row r="101" spans="1:12" ht="16.5" customHeight="1">
      <c r="A101" s="196" t="str">
        <f>Diesel_S10!A101</f>
        <v>DEZEMBRO|19</v>
      </c>
      <c r="B101" s="203">
        <f>[96]media_12!$D$8</f>
        <v>1.7903333333333336</v>
      </c>
      <c r="C101" s="198">
        <f t="shared" ref="C101" si="219">100*B101/$B$8</f>
        <v>44.010160603080969</v>
      </c>
      <c r="D101" s="198">
        <f t="shared" ref="D101" si="220">100*((B101/B100)-1)</f>
        <v>0</v>
      </c>
      <c r="E101" s="198">
        <f t="shared" ref="E101" si="221">100*((B101/$B$89)-1)</f>
        <v>0</v>
      </c>
      <c r="F101" s="199">
        <f t="shared" ref="F101" si="222">100*((B101/B89)-1)</f>
        <v>0</v>
      </c>
      <c r="G101" s="200">
        <f t="shared" ref="G101" si="223">100*((C101/C77)-1)</f>
        <v>-1.8278194114421442</v>
      </c>
      <c r="H101" s="168">
        <f t="shared" si="98"/>
        <v>1.0186185067957549</v>
      </c>
      <c r="I101" s="110"/>
      <c r="J101" s="110"/>
      <c r="K101" s="110"/>
    </row>
    <row r="102" spans="1:12" ht="16.5" customHeight="1">
      <c r="A102" s="196" t="str">
        <f>Diesel_S10!A102</f>
        <v>JANEIRO|20</v>
      </c>
      <c r="B102" s="203">
        <f>[97]media_12!$D$8</f>
        <v>1.7903333333333336</v>
      </c>
      <c r="C102" s="198">
        <f t="shared" ref="C102" si="224">100*B102/$B$8</f>
        <v>44.010160603080969</v>
      </c>
      <c r="D102" s="198">
        <f t="shared" ref="D102" si="225">100*((B102/B101)-1)</f>
        <v>0</v>
      </c>
      <c r="E102" s="198">
        <f t="shared" ref="E102:E107" si="226">100*((B102/$B$101)-1)</f>
        <v>0</v>
      </c>
      <c r="F102" s="199">
        <f t="shared" ref="F102" si="227">100*((B102/B90)-1)</f>
        <v>0</v>
      </c>
      <c r="G102" s="200">
        <f t="shared" ref="G102" si="228">100*((C102/C78)-1)</f>
        <v>-1.8278194114421442</v>
      </c>
      <c r="H102" s="168">
        <f t="shared" si="98"/>
        <v>1.0186185067957549</v>
      </c>
      <c r="I102" s="110"/>
      <c r="J102" s="110"/>
      <c r="K102" s="110"/>
    </row>
    <row r="103" spans="1:12" ht="16.5" customHeight="1">
      <c r="A103" s="196" t="str">
        <f>Diesel_S10!A103</f>
        <v>FEVEREIRO|20</v>
      </c>
      <c r="B103" s="203">
        <f>[98]media_12!$D$8</f>
        <v>1.9070000000000003</v>
      </c>
      <c r="C103" s="198">
        <f t="shared" ref="C103" si="229">100*B103/$B$8</f>
        <v>46.878072763028527</v>
      </c>
      <c r="D103" s="198">
        <f t="shared" ref="D103" si="230">100*((B103/B102)-1)</f>
        <v>6.5164773785142405</v>
      </c>
      <c r="E103" s="198">
        <f t="shared" si="226"/>
        <v>6.5164773785142405</v>
      </c>
      <c r="F103" s="199">
        <f t="shared" ref="F103" si="231">100*((B103/B91)-1)</f>
        <v>8.0249244712990997</v>
      </c>
      <c r="G103" s="200">
        <f t="shared" ref="G103" si="232">100*((C103/C79)-1)</f>
        <v>4.5695485286053827</v>
      </c>
      <c r="H103" s="168">
        <f t="shared" si="98"/>
        <v>0.95630134591854576</v>
      </c>
      <c r="I103" s="110"/>
      <c r="J103" s="110"/>
      <c r="K103" s="110"/>
    </row>
    <row r="104" spans="1:12" ht="16.5" customHeight="1">
      <c r="A104" s="196" t="str">
        <f>Diesel_S10!A104</f>
        <v>MARÇO|20</v>
      </c>
      <c r="B104" s="203">
        <f>[99]media_12!$D$8</f>
        <v>1.9070000000000003</v>
      </c>
      <c r="C104" s="198">
        <f t="shared" ref="C104" si="233">100*B104/$B$8</f>
        <v>46.878072763028527</v>
      </c>
      <c r="D104" s="198">
        <f t="shared" ref="D104" si="234">100*((B104/B103)-1)</f>
        <v>0</v>
      </c>
      <c r="E104" s="198">
        <f t="shared" si="226"/>
        <v>6.5164773785142405</v>
      </c>
      <c r="F104" s="199">
        <f t="shared" ref="F104" si="235">100*((B104/B92)-1)</f>
        <v>8.0249244712990997</v>
      </c>
      <c r="G104" s="200">
        <f t="shared" ref="G104" si="236">100*((C104/C80)-1)</f>
        <v>4.5695485286053827</v>
      </c>
      <c r="H104" s="168">
        <f t="shared" si="98"/>
        <v>0.95630134591854576</v>
      </c>
      <c r="I104" s="110"/>
      <c r="J104" s="110"/>
      <c r="K104" s="110"/>
    </row>
    <row r="105" spans="1:12" ht="16.5" customHeight="1">
      <c r="A105" s="196" t="str">
        <f>Diesel_S10!A105</f>
        <v>ABRIL|20</v>
      </c>
      <c r="B105" s="203">
        <f>[100]media_12!$D$8</f>
        <v>1.9070000000000003</v>
      </c>
      <c r="C105" s="198">
        <f t="shared" ref="C105" si="237">100*B105/$B$8</f>
        <v>46.878072763028527</v>
      </c>
      <c r="D105" s="198">
        <f t="shared" ref="D105" si="238">100*((B105/B104)-1)</f>
        <v>0</v>
      </c>
      <c r="E105" s="198">
        <f t="shared" si="226"/>
        <v>6.5164773785142405</v>
      </c>
      <c r="F105" s="199">
        <f t="shared" ref="F105" si="239">100*((B105/B93)-1)</f>
        <v>8.0249244712990997</v>
      </c>
      <c r="G105" s="200">
        <f t="shared" ref="G105" si="240">100*((C105/C81)-1)</f>
        <v>4.5695485286053827</v>
      </c>
      <c r="H105" s="168">
        <f t="shared" si="98"/>
        <v>0.95630134591854576</v>
      </c>
      <c r="I105" s="110"/>
      <c r="J105" s="110"/>
      <c r="K105" s="110"/>
    </row>
    <row r="106" spans="1:12" ht="16.5" customHeight="1">
      <c r="A106" s="196" t="str">
        <f>Diesel_S10!A106</f>
        <v>MAIO|20</v>
      </c>
      <c r="B106" s="203">
        <f>[101]media_12!$D$8</f>
        <v>1.823666666666667</v>
      </c>
      <c r="C106" s="198">
        <f t="shared" ref="C106" si="241">100*B106/$B$8</f>
        <v>44.829564077351698</v>
      </c>
      <c r="D106" s="198">
        <f t="shared" ref="D106" si="242">100*((B106/B105)-1)</f>
        <v>-4.369865408145424</v>
      </c>
      <c r="E106" s="198">
        <f t="shared" si="226"/>
        <v>1.8618506795754941</v>
      </c>
      <c r="F106" s="199">
        <f t="shared" ref="F106" si="243">100*((B106/B94)-1)</f>
        <v>0</v>
      </c>
      <c r="G106" s="200">
        <f t="shared" ref="G106" si="244">100*((C106/C82)-1)</f>
        <v>0</v>
      </c>
      <c r="H106" s="168">
        <f t="shared" si="98"/>
        <v>1</v>
      </c>
      <c r="I106" s="110"/>
      <c r="J106" s="110"/>
      <c r="K106" s="110"/>
    </row>
    <row r="107" spans="1:12" ht="16.5" customHeight="1">
      <c r="A107" s="196" t="str">
        <f>Diesel_S10!A107</f>
        <v>JUNHO|20</v>
      </c>
      <c r="B107" s="203">
        <f>[102]media_12!$D$8</f>
        <v>1.823666666666667</v>
      </c>
      <c r="C107" s="198">
        <f t="shared" ref="C107" si="245">100*B107/$B$8</f>
        <v>44.829564077351698</v>
      </c>
      <c r="D107" s="198">
        <f t="shared" ref="D107" si="246">100*((B107/B106)-1)</f>
        <v>0</v>
      </c>
      <c r="E107" s="198">
        <f t="shared" si="226"/>
        <v>1.8618506795754941</v>
      </c>
      <c r="F107" s="199">
        <f t="shared" ref="F107" si="247">100*((B107/B95)-1)</f>
        <v>0</v>
      </c>
      <c r="G107" s="200">
        <f t="shared" ref="G107" si="248">100*((C107/C83)-1)</f>
        <v>0</v>
      </c>
      <c r="H107" s="168">
        <f t="shared" si="98"/>
        <v>1</v>
      </c>
      <c r="I107" s="110"/>
      <c r="J107" s="110"/>
      <c r="K107" s="110"/>
    </row>
    <row r="108" spans="1:12" ht="16.5" customHeight="1">
      <c r="A108" s="196" t="str">
        <f>Diesel_S10!A108</f>
        <v>JULHO|20</v>
      </c>
      <c r="B108" s="203">
        <f>[103]media_12!$D$8</f>
        <v>1.823666666666667</v>
      </c>
      <c r="C108" s="198">
        <f t="shared" ref="C108" si="249">100*B108/$B$8</f>
        <v>44.829564077351698</v>
      </c>
      <c r="D108" s="198">
        <f t="shared" ref="D108" si="250">100*((B108/B107)-1)</f>
        <v>0</v>
      </c>
      <c r="E108" s="198">
        <f t="shared" ref="E108" si="251">100*((B108/$B$101)-1)</f>
        <v>1.8618506795754941</v>
      </c>
      <c r="F108" s="199">
        <f t="shared" ref="F108" si="252">100*((B108/B96)-1)</f>
        <v>1.8618506795754941</v>
      </c>
      <c r="G108" s="200">
        <f t="shared" ref="G108" si="253">100*((C108/C84)-1)</f>
        <v>0</v>
      </c>
      <c r="H108" s="168">
        <f t="shared" si="98"/>
        <v>1</v>
      </c>
      <c r="I108" s="110"/>
      <c r="J108" s="110"/>
      <c r="K108" s="110"/>
    </row>
    <row r="109" spans="1:12" ht="16.5" customHeight="1">
      <c r="A109" s="196" t="str">
        <f>Diesel_S10!A109</f>
        <v>AGOSTO|20</v>
      </c>
      <c r="B109" s="203">
        <f>[104]media_12!$D$8</f>
        <v>1.823666666666667</v>
      </c>
      <c r="C109" s="198">
        <f t="shared" ref="C109" si="254">100*B109/$B$8</f>
        <v>44.829564077351698</v>
      </c>
      <c r="D109" s="198">
        <f>100*((B109/B108)-1)</f>
        <v>0</v>
      </c>
      <c r="E109" s="198">
        <f t="shared" ref="E109" si="255">100*((B109/$B$101)-1)</f>
        <v>1.8618506795754941</v>
      </c>
      <c r="F109" s="199">
        <f>100*((B109/B97)-1)</f>
        <v>1.8618506795754941</v>
      </c>
      <c r="G109" s="200">
        <f>100*((C109/C85)-1)</f>
        <v>1.8618506795754941</v>
      </c>
      <c r="H109" s="202">
        <f t="shared" si="98"/>
        <v>1</v>
      </c>
      <c r="I109" s="110"/>
      <c r="J109" s="110"/>
      <c r="K109" s="110"/>
    </row>
    <row r="110" spans="1:12" ht="16.5" customHeight="1" thickBot="1">
      <c r="A110" s="151" t="str">
        <f>Diesel_S10!A110</f>
        <v>SETEMBRO|20</v>
      </c>
      <c r="B110" s="176">
        <f>[258]media_12!$D$8</f>
        <v>1.823666666666667</v>
      </c>
      <c r="C110" s="154">
        <f t="shared" ref="C110" si="256">100*B110/$B$8</f>
        <v>44.829564077351698</v>
      </c>
      <c r="D110" s="154">
        <f>100*((B110/B109)-1)</f>
        <v>0</v>
      </c>
      <c r="E110" s="154">
        <f t="shared" ref="E110" si="257">100*((B110/$B$101)-1)</f>
        <v>1.8618506795754941</v>
      </c>
      <c r="F110" s="155">
        <f>100*((B110/B98)-1)</f>
        <v>1.8618506795754941</v>
      </c>
      <c r="G110" s="156">
        <f>100*((C110/C86)-1)</f>
        <v>1.8618506795754941</v>
      </c>
      <c r="H110" s="172">
        <f t="shared" si="98"/>
        <v>1</v>
      </c>
      <c r="I110" s="110"/>
      <c r="J110" s="110"/>
      <c r="K110" s="110"/>
    </row>
    <row r="111" spans="1:12">
      <c r="A111" s="112" t="s">
        <v>292</v>
      </c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</row>
    <row r="112" spans="1:12">
      <c r="A112" s="120"/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</row>
    <row r="113" spans="1:12"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</row>
    <row r="114" spans="1:12">
      <c r="A114" s="105"/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</row>
    <row r="115" spans="1:12"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</row>
    <row r="116" spans="1:12"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</row>
    <row r="117" spans="1:12">
      <c r="A117" s="106"/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</row>
    <row r="118" spans="1:12">
      <c r="A118" s="106"/>
      <c r="B118" s="107"/>
      <c r="C118" s="107"/>
      <c r="D118" s="108"/>
      <c r="E118" s="107"/>
      <c r="F118" s="104"/>
      <c r="G118" s="104"/>
      <c r="H118" s="104"/>
      <c r="I118" s="104"/>
      <c r="J118" s="104"/>
      <c r="K118" s="104"/>
      <c r="L118" s="104"/>
    </row>
    <row r="119" spans="1:12"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</row>
    <row r="120" spans="1:12"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</row>
    <row r="121" spans="1:12"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</row>
    <row r="122" spans="1:12"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</row>
    <row r="123" spans="1:12"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</row>
    <row r="124" spans="1:12"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</row>
    <row r="125" spans="1:12"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</row>
    <row r="126" spans="1:12"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</row>
    <row r="127" spans="1:12"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</row>
    <row r="128" spans="1:12"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</row>
    <row r="129" spans="1:12"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</row>
    <row r="130" spans="1:12"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</row>
    <row r="131" spans="1:12">
      <c r="A131" s="105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</row>
    <row r="132" spans="1:12"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</row>
    <row r="133" spans="1:12"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</row>
    <row r="134" spans="1:12">
      <c r="A134" s="106"/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</row>
    <row r="135" spans="1:12">
      <c r="A135" s="106"/>
      <c r="B135" s="107"/>
      <c r="C135" s="107"/>
      <c r="D135" s="108"/>
      <c r="E135" s="107"/>
      <c r="F135" s="104"/>
      <c r="G135" s="104"/>
      <c r="H135" s="104"/>
      <c r="I135" s="104"/>
      <c r="J135" s="104"/>
      <c r="K135" s="104"/>
      <c r="L135" s="104"/>
    </row>
    <row r="136" spans="1:12"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</row>
    <row r="137" spans="1:12"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</row>
    <row r="138" spans="1:12">
      <c r="B138" s="104"/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</row>
    <row r="139" spans="1:12"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</row>
    <row r="140" spans="1:12">
      <c r="B140" s="104"/>
      <c r="C140" s="104"/>
      <c r="D140" s="104"/>
      <c r="E140" s="104"/>
      <c r="F140" s="104"/>
      <c r="G140" s="104"/>
      <c r="H140" s="104"/>
      <c r="I140" s="104"/>
      <c r="J140" s="104"/>
      <c r="K140" s="104"/>
      <c r="L140" s="104"/>
    </row>
    <row r="141" spans="1:12"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</row>
    <row r="142" spans="1:12">
      <c r="B142" s="104"/>
      <c r="C142" s="104"/>
      <c r="D142" s="104"/>
      <c r="E142" s="104"/>
      <c r="F142" s="104"/>
      <c r="G142" s="104"/>
      <c r="H142" s="104"/>
      <c r="I142" s="104"/>
      <c r="J142" s="104"/>
      <c r="K142" s="104"/>
      <c r="L142" s="104"/>
    </row>
    <row r="143" spans="1:12">
      <c r="B143" s="104"/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</row>
    <row r="144" spans="1:12">
      <c r="B144" s="104"/>
      <c r="C144" s="104"/>
      <c r="D144" s="104"/>
      <c r="E144" s="104"/>
      <c r="F144" s="104"/>
      <c r="G144" s="104"/>
      <c r="H144" s="104"/>
      <c r="I144" s="104"/>
      <c r="J144" s="104"/>
      <c r="K144" s="104"/>
      <c r="L144" s="104"/>
    </row>
    <row r="145" spans="1:12">
      <c r="B145" s="104"/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</row>
    <row r="146" spans="1:12">
      <c r="B146" s="104"/>
      <c r="C146" s="104"/>
      <c r="D146" s="104"/>
      <c r="E146" s="104"/>
      <c r="F146" s="104"/>
      <c r="G146" s="104"/>
      <c r="H146" s="104"/>
      <c r="I146" s="104"/>
      <c r="J146" s="104"/>
      <c r="K146" s="104"/>
      <c r="L146" s="104"/>
    </row>
    <row r="147" spans="1:12">
      <c r="B147" s="104"/>
      <c r="C147" s="104"/>
      <c r="D147" s="104"/>
      <c r="E147" s="104"/>
      <c r="F147" s="104"/>
      <c r="G147" s="104"/>
      <c r="H147" s="104"/>
      <c r="I147" s="104"/>
      <c r="J147" s="104"/>
      <c r="K147" s="104"/>
      <c r="L147" s="104"/>
    </row>
    <row r="148" spans="1:12">
      <c r="A148" s="105"/>
      <c r="B148" s="104"/>
      <c r="C148" s="104"/>
      <c r="D148" s="104"/>
      <c r="E148" s="104"/>
      <c r="F148" s="104"/>
      <c r="G148" s="104"/>
      <c r="H148" s="104"/>
      <c r="I148" s="104"/>
      <c r="J148" s="104"/>
      <c r="K148" s="104"/>
      <c r="L148" s="104"/>
    </row>
    <row r="149" spans="1:12">
      <c r="B149" s="104"/>
      <c r="C149" s="104"/>
      <c r="D149" s="104"/>
      <c r="E149" s="104"/>
      <c r="F149" s="104"/>
      <c r="G149" s="104"/>
      <c r="H149" s="104"/>
      <c r="I149" s="104"/>
      <c r="J149" s="104"/>
      <c r="K149" s="104"/>
      <c r="L149" s="104"/>
    </row>
    <row r="150" spans="1:12">
      <c r="B150" s="104"/>
      <c r="C150" s="104"/>
      <c r="D150" s="104"/>
      <c r="E150" s="104"/>
      <c r="F150" s="104"/>
      <c r="G150" s="104"/>
      <c r="H150" s="104"/>
      <c r="I150" s="104"/>
      <c r="J150" s="104"/>
      <c r="K150" s="104"/>
      <c r="L150" s="104"/>
    </row>
    <row r="151" spans="1:12">
      <c r="B151" s="104"/>
      <c r="C151" s="104"/>
      <c r="D151" s="104"/>
      <c r="E151" s="104"/>
      <c r="F151" s="104"/>
      <c r="G151" s="104"/>
      <c r="H151" s="104"/>
      <c r="I151" s="104"/>
      <c r="J151" s="104"/>
      <c r="K151" s="104"/>
      <c r="L151" s="104"/>
    </row>
    <row r="152" spans="1:12">
      <c r="B152" s="104"/>
      <c r="C152" s="104"/>
      <c r="D152" s="104"/>
      <c r="E152" s="104"/>
      <c r="F152" s="104"/>
      <c r="G152" s="104"/>
      <c r="H152" s="104"/>
      <c r="I152" s="104"/>
      <c r="J152" s="104"/>
      <c r="K152" s="104"/>
      <c r="L152" s="104"/>
    </row>
    <row r="153" spans="1:12">
      <c r="B153" s="104"/>
      <c r="C153" s="104"/>
      <c r="D153" s="104"/>
      <c r="E153" s="104"/>
      <c r="F153" s="104"/>
      <c r="G153" s="104"/>
      <c r="H153" s="104"/>
      <c r="I153" s="104"/>
      <c r="J153" s="104"/>
      <c r="K153" s="104"/>
      <c r="L153" s="104"/>
    </row>
    <row r="154" spans="1:12">
      <c r="B154" s="104"/>
      <c r="C154" s="104"/>
      <c r="D154" s="104"/>
      <c r="E154" s="104"/>
      <c r="F154" s="104"/>
      <c r="G154" s="104"/>
      <c r="H154" s="104"/>
      <c r="I154" s="104"/>
      <c r="J154" s="104"/>
      <c r="K154" s="104"/>
      <c r="L154" s="104"/>
    </row>
    <row r="155" spans="1:12">
      <c r="B155" s="104"/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</row>
    <row r="156" spans="1:12">
      <c r="B156" s="104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</row>
    <row r="157" spans="1:12">
      <c r="B157" s="104"/>
      <c r="C157" s="104"/>
      <c r="D157" s="104"/>
      <c r="E157" s="104"/>
      <c r="F157" s="104"/>
      <c r="G157" s="104"/>
      <c r="H157" s="104"/>
      <c r="I157" s="104"/>
      <c r="J157" s="104"/>
      <c r="K157" s="104"/>
      <c r="L157" s="104"/>
    </row>
    <row r="158" spans="1:12">
      <c r="B158" s="104"/>
      <c r="C158" s="104"/>
      <c r="D158" s="104"/>
      <c r="E158" s="104"/>
      <c r="F158" s="104"/>
      <c r="G158" s="104"/>
      <c r="H158" s="104"/>
      <c r="I158" s="104"/>
      <c r="J158" s="104"/>
      <c r="K158" s="104"/>
      <c r="L158" s="104"/>
    </row>
    <row r="159" spans="1:12">
      <c r="B159" s="104"/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</row>
    <row r="160" spans="1:12">
      <c r="B160" s="104"/>
      <c r="C160" s="104"/>
      <c r="D160" s="104"/>
      <c r="E160" s="104"/>
      <c r="F160" s="104"/>
      <c r="G160" s="104"/>
      <c r="H160" s="104"/>
      <c r="I160" s="104"/>
      <c r="J160" s="104"/>
      <c r="K160" s="104"/>
      <c r="L160" s="104"/>
    </row>
    <row r="161" spans="2:12">
      <c r="B161" s="104"/>
      <c r="C161" s="104"/>
      <c r="D161" s="104"/>
      <c r="E161" s="104"/>
      <c r="F161" s="104"/>
      <c r="G161" s="104"/>
      <c r="H161" s="104"/>
      <c r="I161" s="104"/>
      <c r="J161" s="104"/>
      <c r="K161" s="104"/>
      <c r="L161" s="104"/>
    </row>
    <row r="162" spans="2:12">
      <c r="B162" s="104"/>
      <c r="C162" s="104"/>
      <c r="D162" s="104"/>
      <c r="E162" s="104"/>
      <c r="F162" s="104"/>
      <c r="G162" s="104"/>
      <c r="H162" s="104"/>
      <c r="I162" s="104"/>
      <c r="J162" s="104"/>
      <c r="K162" s="104"/>
      <c r="L162" s="104"/>
    </row>
    <row r="163" spans="2:12">
      <c r="B163" s="104"/>
      <c r="C163" s="104"/>
      <c r="D163" s="104"/>
      <c r="E163" s="104"/>
      <c r="F163" s="104"/>
      <c r="G163" s="104"/>
      <c r="H163" s="104"/>
      <c r="I163" s="104"/>
      <c r="J163" s="104"/>
      <c r="K163" s="104"/>
      <c r="L163" s="104"/>
    </row>
    <row r="164" spans="2:12">
      <c r="B164" s="104"/>
      <c r="C164" s="104"/>
      <c r="D164" s="104"/>
      <c r="E164" s="104"/>
      <c r="F164" s="104"/>
      <c r="G164" s="104"/>
      <c r="H164" s="104"/>
      <c r="I164" s="104"/>
      <c r="J164" s="104"/>
      <c r="K164" s="104"/>
      <c r="L164" s="104"/>
    </row>
    <row r="165" spans="2:12">
      <c r="B165" s="104"/>
      <c r="C165" s="104"/>
      <c r="D165" s="104"/>
      <c r="E165" s="104"/>
      <c r="F165" s="104"/>
      <c r="G165" s="104"/>
      <c r="H165" s="104"/>
      <c r="I165" s="104"/>
      <c r="J165" s="104"/>
      <c r="K165" s="104"/>
      <c r="L165" s="104"/>
    </row>
    <row r="166" spans="2:12">
      <c r="B166" s="104"/>
      <c r="C166" s="104"/>
      <c r="D166" s="104"/>
      <c r="E166" s="104"/>
      <c r="F166" s="104"/>
      <c r="G166" s="104"/>
      <c r="H166" s="104"/>
      <c r="I166" s="104"/>
      <c r="J166" s="104"/>
      <c r="K166" s="104"/>
      <c r="L166" s="104"/>
    </row>
    <row r="167" spans="2:12">
      <c r="B167" s="104"/>
      <c r="C167" s="104"/>
      <c r="D167" s="104"/>
      <c r="E167" s="104"/>
      <c r="F167" s="104"/>
      <c r="G167" s="104"/>
      <c r="H167" s="104"/>
      <c r="I167" s="104"/>
      <c r="J167" s="104"/>
      <c r="K167" s="104"/>
      <c r="L167" s="104"/>
    </row>
    <row r="168" spans="2:12">
      <c r="B168" s="104"/>
      <c r="C168" s="104"/>
      <c r="D168" s="104"/>
      <c r="E168" s="104"/>
      <c r="F168" s="104"/>
      <c r="G168" s="104"/>
      <c r="H168" s="104"/>
      <c r="I168" s="104"/>
      <c r="J168" s="104"/>
      <c r="K168" s="104"/>
      <c r="L168" s="104"/>
    </row>
    <row r="169" spans="2:12">
      <c r="B169" s="104"/>
      <c r="C169" s="104"/>
      <c r="D169" s="104"/>
      <c r="E169" s="104"/>
      <c r="F169" s="104"/>
      <c r="G169" s="104"/>
      <c r="H169" s="104"/>
      <c r="I169" s="104"/>
      <c r="J169" s="104"/>
      <c r="K169" s="104"/>
      <c r="L169" s="104"/>
    </row>
    <row r="170" spans="2:12">
      <c r="B170" s="104"/>
      <c r="C170" s="104"/>
      <c r="D170" s="104"/>
      <c r="E170" s="104"/>
      <c r="F170" s="104"/>
      <c r="G170" s="104"/>
      <c r="H170" s="104"/>
      <c r="I170" s="104"/>
      <c r="J170" s="104"/>
      <c r="K170" s="104"/>
      <c r="L170" s="104"/>
    </row>
    <row r="171" spans="2:12">
      <c r="B171" s="104"/>
      <c r="C171" s="104"/>
      <c r="D171" s="104"/>
      <c r="E171" s="104"/>
      <c r="F171" s="104"/>
      <c r="G171" s="104"/>
      <c r="H171" s="104"/>
      <c r="I171" s="104"/>
      <c r="J171" s="104"/>
      <c r="K171" s="104"/>
      <c r="L171" s="104"/>
    </row>
    <row r="172" spans="2:12">
      <c r="B172" s="104"/>
      <c r="C172" s="104"/>
      <c r="D172" s="104"/>
      <c r="E172" s="104"/>
      <c r="F172" s="104"/>
      <c r="G172" s="104"/>
      <c r="H172" s="104"/>
      <c r="I172" s="104"/>
      <c r="J172" s="104"/>
      <c r="K172" s="104"/>
      <c r="L172" s="104"/>
    </row>
    <row r="173" spans="2:12">
      <c r="B173" s="104"/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</row>
    <row r="174" spans="2:12">
      <c r="B174" s="104"/>
      <c r="C174" s="104"/>
      <c r="D174" s="104"/>
      <c r="E174" s="104"/>
      <c r="F174" s="104"/>
      <c r="G174" s="104"/>
      <c r="H174" s="104"/>
      <c r="I174" s="104"/>
      <c r="J174" s="104"/>
      <c r="K174" s="104"/>
      <c r="L174" s="104"/>
    </row>
    <row r="175" spans="2:12">
      <c r="B175" s="104"/>
      <c r="C175" s="104"/>
      <c r="D175" s="104"/>
      <c r="E175" s="104"/>
      <c r="F175" s="104"/>
      <c r="G175" s="104"/>
      <c r="H175" s="104"/>
      <c r="I175" s="104"/>
      <c r="J175" s="104"/>
      <c r="K175" s="104"/>
      <c r="L175" s="104"/>
    </row>
    <row r="176" spans="2:12">
      <c r="B176" s="104"/>
      <c r="C176" s="104"/>
      <c r="D176" s="104"/>
      <c r="E176" s="104"/>
      <c r="F176" s="104"/>
      <c r="G176" s="104"/>
      <c r="H176" s="104"/>
      <c r="I176" s="104"/>
      <c r="J176" s="104"/>
      <c r="K176" s="104"/>
      <c r="L176" s="104"/>
    </row>
    <row r="177" spans="2:12">
      <c r="B177" s="104"/>
      <c r="C177" s="104"/>
      <c r="D177" s="104"/>
      <c r="E177" s="104"/>
      <c r="F177" s="104"/>
      <c r="G177" s="104"/>
      <c r="H177" s="104"/>
      <c r="I177" s="104"/>
      <c r="J177" s="104"/>
      <c r="K177" s="104"/>
      <c r="L177" s="104"/>
    </row>
    <row r="178" spans="2:12">
      <c r="B178" s="104"/>
      <c r="C178" s="104"/>
      <c r="D178" s="104"/>
      <c r="E178" s="104"/>
      <c r="F178" s="104"/>
      <c r="G178" s="104"/>
      <c r="H178" s="104"/>
      <c r="I178" s="104"/>
      <c r="J178" s="104"/>
      <c r="K178" s="104"/>
      <c r="L178" s="104"/>
    </row>
    <row r="179" spans="2:12">
      <c r="B179" s="104"/>
      <c r="C179" s="104"/>
      <c r="D179" s="104"/>
      <c r="E179" s="104"/>
      <c r="F179" s="104"/>
      <c r="G179" s="104"/>
      <c r="H179" s="104"/>
      <c r="I179" s="104"/>
      <c r="J179" s="104"/>
      <c r="K179" s="104"/>
      <c r="L179" s="104"/>
    </row>
    <row r="180" spans="2:12">
      <c r="B180" s="104"/>
      <c r="C180" s="104"/>
      <c r="D180" s="104"/>
      <c r="E180" s="104"/>
      <c r="F180" s="104"/>
      <c r="G180" s="104"/>
      <c r="H180" s="104"/>
      <c r="I180" s="104"/>
      <c r="J180" s="104"/>
      <c r="K180" s="104"/>
      <c r="L180" s="104"/>
    </row>
    <row r="181" spans="2:12">
      <c r="B181" s="104"/>
      <c r="C181" s="104"/>
      <c r="D181" s="104"/>
      <c r="E181" s="104"/>
      <c r="F181" s="104"/>
      <c r="G181" s="104"/>
      <c r="H181" s="104"/>
      <c r="I181" s="104"/>
      <c r="J181" s="104"/>
      <c r="K181" s="104"/>
      <c r="L181" s="104"/>
    </row>
    <row r="182" spans="2:12">
      <c r="B182" s="104"/>
      <c r="C182" s="104"/>
      <c r="D182" s="104"/>
      <c r="E182" s="104"/>
      <c r="F182" s="104"/>
      <c r="G182" s="104"/>
      <c r="H182" s="104"/>
      <c r="I182" s="104"/>
      <c r="J182" s="104"/>
      <c r="K182" s="104"/>
      <c r="L182" s="104"/>
    </row>
    <row r="183" spans="2:12">
      <c r="B183" s="104"/>
      <c r="C183" s="104"/>
      <c r="D183" s="104"/>
      <c r="E183" s="104"/>
      <c r="F183" s="104"/>
      <c r="G183" s="104"/>
      <c r="H183" s="104"/>
      <c r="I183" s="104"/>
      <c r="J183" s="104"/>
      <c r="K183" s="104"/>
      <c r="L183" s="104"/>
    </row>
    <row r="184" spans="2:12">
      <c r="B184" s="104"/>
      <c r="C184" s="104"/>
      <c r="D184" s="104"/>
      <c r="E184" s="104"/>
      <c r="F184" s="104"/>
      <c r="G184" s="104"/>
      <c r="H184" s="104"/>
      <c r="I184" s="104"/>
      <c r="J184" s="104"/>
      <c r="K184" s="104"/>
      <c r="L184" s="104"/>
    </row>
    <row r="185" spans="2:12">
      <c r="B185" s="104"/>
      <c r="C185" s="104"/>
      <c r="D185" s="104"/>
      <c r="E185" s="104"/>
      <c r="F185" s="104"/>
      <c r="G185" s="104"/>
      <c r="H185" s="104"/>
      <c r="I185" s="104"/>
      <c r="J185" s="104"/>
      <c r="K185" s="104"/>
      <c r="L185" s="104"/>
    </row>
    <row r="186" spans="2:12">
      <c r="B186" s="104"/>
      <c r="C186" s="104"/>
      <c r="D186" s="104"/>
      <c r="E186" s="104"/>
      <c r="F186" s="104"/>
      <c r="G186" s="104"/>
      <c r="H186" s="104"/>
      <c r="I186" s="104"/>
      <c r="J186" s="104"/>
      <c r="K186" s="104"/>
      <c r="L186" s="104"/>
    </row>
    <row r="187" spans="2:12">
      <c r="B187" s="104"/>
      <c r="C187" s="104"/>
      <c r="D187" s="104"/>
      <c r="E187" s="104"/>
      <c r="F187" s="104"/>
      <c r="G187" s="104"/>
      <c r="H187" s="104"/>
      <c r="I187" s="104"/>
      <c r="J187" s="104"/>
      <c r="K187" s="104"/>
      <c r="L187" s="104"/>
    </row>
    <row r="188" spans="2:12">
      <c r="B188" s="104"/>
      <c r="C188" s="104"/>
      <c r="D188" s="104"/>
      <c r="E188" s="104"/>
      <c r="F188" s="104"/>
      <c r="G188" s="104"/>
      <c r="H188" s="104"/>
      <c r="I188" s="104"/>
      <c r="J188" s="104"/>
      <c r="K188" s="104"/>
      <c r="L188" s="104"/>
    </row>
    <row r="189" spans="2:12">
      <c r="B189" s="104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</row>
    <row r="190" spans="2:12">
      <c r="B190" s="104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</row>
    <row r="191" spans="2:12">
      <c r="B191" s="104"/>
      <c r="C191" s="104"/>
      <c r="D191" s="104"/>
      <c r="E191" s="104"/>
      <c r="F191" s="104"/>
      <c r="G191" s="104"/>
      <c r="H191" s="104"/>
      <c r="I191" s="104"/>
      <c r="J191" s="104"/>
      <c r="K191" s="104"/>
      <c r="L191" s="104"/>
    </row>
    <row r="192" spans="2:12">
      <c r="B192" s="104"/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</row>
    <row r="193" spans="2:12">
      <c r="B193" s="104"/>
      <c r="C193" s="104"/>
      <c r="D193" s="104"/>
      <c r="E193" s="104"/>
      <c r="F193" s="104"/>
      <c r="G193" s="104"/>
      <c r="H193" s="104"/>
      <c r="I193" s="104"/>
      <c r="J193" s="104"/>
      <c r="K193" s="104"/>
      <c r="L193" s="104"/>
    </row>
    <row r="194" spans="2:12">
      <c r="B194" s="104"/>
      <c r="C194" s="104"/>
      <c r="D194" s="104"/>
      <c r="E194" s="104"/>
      <c r="F194" s="104"/>
      <c r="G194" s="104"/>
      <c r="H194" s="104"/>
      <c r="I194" s="104"/>
      <c r="J194" s="104"/>
      <c r="K194" s="104"/>
      <c r="L194" s="104"/>
    </row>
    <row r="195" spans="2:12">
      <c r="B195" s="104"/>
      <c r="C195" s="104"/>
      <c r="D195" s="104"/>
      <c r="E195" s="104"/>
      <c r="F195" s="104"/>
      <c r="G195" s="104"/>
      <c r="H195" s="104"/>
      <c r="I195" s="104"/>
      <c r="J195" s="104"/>
      <c r="K195" s="104"/>
      <c r="L195" s="104"/>
    </row>
    <row r="196" spans="2:12">
      <c r="B196" s="104"/>
      <c r="C196" s="104"/>
      <c r="D196" s="104"/>
      <c r="E196" s="104"/>
      <c r="F196" s="104"/>
      <c r="G196" s="104"/>
      <c r="H196" s="104"/>
      <c r="I196" s="104"/>
      <c r="J196" s="104"/>
      <c r="K196" s="104"/>
      <c r="L196" s="104"/>
    </row>
    <row r="197" spans="2:12">
      <c r="B197" s="104"/>
      <c r="C197" s="104"/>
      <c r="D197" s="104"/>
      <c r="E197" s="104"/>
      <c r="F197" s="104"/>
      <c r="G197" s="104"/>
      <c r="H197" s="104"/>
      <c r="I197" s="104"/>
      <c r="J197" s="104"/>
      <c r="K197" s="104"/>
      <c r="L197" s="104"/>
    </row>
    <row r="198" spans="2:12"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</row>
    <row r="199" spans="2:12"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</row>
    <row r="200" spans="2:12">
      <c r="B200" s="104"/>
      <c r="C200" s="104"/>
      <c r="D200" s="104"/>
      <c r="E200" s="104"/>
      <c r="F200" s="104"/>
      <c r="G200" s="104"/>
      <c r="H200" s="104"/>
      <c r="I200" s="104"/>
      <c r="J200" s="104"/>
      <c r="K200" s="104"/>
      <c r="L200" s="104"/>
    </row>
    <row r="201" spans="2:12"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</row>
    <row r="202" spans="2:12">
      <c r="B202" s="104"/>
      <c r="C202" s="104"/>
      <c r="D202" s="104"/>
      <c r="E202" s="104"/>
      <c r="F202" s="104"/>
      <c r="G202" s="104"/>
      <c r="H202" s="104"/>
      <c r="I202" s="104"/>
      <c r="J202" s="104"/>
      <c r="K202" s="104"/>
      <c r="L202" s="104"/>
    </row>
    <row r="203" spans="2:12">
      <c r="B203" s="104"/>
      <c r="C203" s="104"/>
      <c r="D203" s="104"/>
      <c r="E203" s="104"/>
      <c r="F203" s="104"/>
      <c r="G203" s="104"/>
      <c r="H203" s="104"/>
      <c r="I203" s="104"/>
      <c r="J203" s="104"/>
      <c r="K203" s="104"/>
      <c r="L203" s="104"/>
    </row>
    <row r="204" spans="2:12">
      <c r="B204" s="104"/>
      <c r="C204" s="104"/>
      <c r="D204" s="104"/>
      <c r="E204" s="104"/>
      <c r="F204" s="104"/>
      <c r="G204" s="104"/>
      <c r="H204" s="104"/>
      <c r="I204" s="104"/>
      <c r="J204" s="104"/>
      <c r="K204" s="104"/>
      <c r="L204" s="104"/>
    </row>
    <row r="205" spans="2:12">
      <c r="B205" s="104"/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</row>
    <row r="206" spans="2:12">
      <c r="B206" s="104"/>
      <c r="C206" s="104"/>
      <c r="D206" s="104"/>
      <c r="E206" s="104"/>
      <c r="F206" s="104"/>
      <c r="G206" s="104"/>
      <c r="H206" s="104"/>
      <c r="I206" s="104"/>
      <c r="J206" s="104"/>
      <c r="K206" s="104"/>
      <c r="L206" s="104"/>
    </row>
    <row r="207" spans="2:12">
      <c r="B207" s="104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</row>
    <row r="208" spans="2:12">
      <c r="B208" s="104"/>
      <c r="C208" s="104"/>
      <c r="D208" s="104"/>
      <c r="E208" s="104"/>
      <c r="F208" s="104"/>
      <c r="G208" s="104"/>
      <c r="H208" s="104"/>
      <c r="I208" s="104"/>
      <c r="J208" s="104"/>
      <c r="K208" s="104"/>
      <c r="L208" s="104"/>
    </row>
    <row r="209" spans="2:12">
      <c r="B209" s="104"/>
      <c r="C209" s="104"/>
      <c r="D209" s="104"/>
      <c r="E209" s="104"/>
      <c r="F209" s="104"/>
      <c r="G209" s="104"/>
      <c r="H209" s="104"/>
      <c r="I209" s="104"/>
      <c r="J209" s="104"/>
      <c r="K209" s="104"/>
      <c r="L209" s="104"/>
    </row>
    <row r="210" spans="2:12">
      <c r="B210" s="104"/>
      <c r="C210" s="104"/>
      <c r="D210" s="104"/>
      <c r="E210" s="104"/>
      <c r="F210" s="104"/>
      <c r="G210" s="104"/>
      <c r="H210" s="104"/>
      <c r="I210" s="104"/>
      <c r="J210" s="104"/>
      <c r="K210" s="104"/>
      <c r="L210" s="104"/>
    </row>
    <row r="211" spans="2:12">
      <c r="B211" s="104"/>
      <c r="C211" s="104"/>
      <c r="D211" s="104"/>
      <c r="E211" s="104"/>
      <c r="F211" s="104"/>
      <c r="G211" s="104"/>
      <c r="H211" s="104"/>
      <c r="I211" s="104"/>
      <c r="J211" s="104"/>
      <c r="K211" s="104"/>
      <c r="L211" s="104"/>
    </row>
    <row r="212" spans="2:12">
      <c r="B212" s="104"/>
      <c r="C212" s="104"/>
      <c r="D212" s="104"/>
      <c r="E212" s="104"/>
      <c r="F212" s="104"/>
      <c r="G212" s="104"/>
      <c r="H212" s="104"/>
      <c r="I212" s="104"/>
      <c r="J212" s="104"/>
      <c r="K212" s="104"/>
      <c r="L212" s="104"/>
    </row>
    <row r="213" spans="2:12">
      <c r="B213" s="104"/>
      <c r="C213" s="104"/>
      <c r="D213" s="104"/>
      <c r="E213" s="104"/>
      <c r="F213" s="104"/>
      <c r="G213" s="104"/>
      <c r="H213" s="104"/>
      <c r="I213" s="104"/>
      <c r="J213" s="104"/>
      <c r="K213" s="104"/>
      <c r="L213" s="104"/>
    </row>
    <row r="214" spans="2:12">
      <c r="B214" s="104"/>
      <c r="C214" s="104"/>
      <c r="D214" s="104"/>
      <c r="E214" s="104"/>
      <c r="F214" s="104"/>
      <c r="G214" s="104"/>
      <c r="H214" s="104"/>
      <c r="I214" s="104"/>
      <c r="J214" s="104"/>
      <c r="K214" s="104"/>
      <c r="L214" s="104"/>
    </row>
    <row r="215" spans="2:12">
      <c r="B215" s="104"/>
      <c r="C215" s="104"/>
      <c r="D215" s="104"/>
      <c r="E215" s="104"/>
      <c r="F215" s="104"/>
      <c r="G215" s="104"/>
      <c r="H215" s="104"/>
      <c r="I215" s="104"/>
      <c r="J215" s="104"/>
      <c r="K215" s="104"/>
      <c r="L215" s="104"/>
    </row>
    <row r="216" spans="2:12">
      <c r="B216" s="104"/>
      <c r="C216" s="104"/>
      <c r="D216" s="104"/>
      <c r="E216" s="104"/>
      <c r="F216" s="104"/>
      <c r="G216" s="104"/>
      <c r="H216" s="104"/>
      <c r="I216" s="104"/>
      <c r="J216" s="104"/>
      <c r="K216" s="104"/>
      <c r="L216" s="104"/>
    </row>
    <row r="217" spans="2:12">
      <c r="B217" s="104"/>
      <c r="C217" s="104"/>
      <c r="D217" s="104"/>
      <c r="E217" s="104"/>
      <c r="F217" s="104"/>
      <c r="G217" s="104"/>
      <c r="H217" s="104"/>
      <c r="I217" s="104"/>
      <c r="J217" s="104"/>
      <c r="K217" s="104"/>
      <c r="L217" s="104"/>
    </row>
    <row r="218" spans="2:12">
      <c r="B218" s="104"/>
      <c r="C218" s="104"/>
      <c r="D218" s="104"/>
      <c r="E218" s="104"/>
      <c r="F218" s="104"/>
      <c r="G218" s="104"/>
      <c r="H218" s="104"/>
      <c r="I218" s="104"/>
      <c r="J218" s="104"/>
      <c r="K218" s="104"/>
      <c r="L218" s="104"/>
    </row>
    <row r="219" spans="2:12">
      <c r="B219" s="104"/>
      <c r="C219" s="104"/>
      <c r="D219" s="104"/>
      <c r="E219" s="104"/>
      <c r="F219" s="104"/>
      <c r="G219" s="104"/>
      <c r="H219" s="104"/>
      <c r="I219" s="104"/>
      <c r="J219" s="104"/>
      <c r="K219" s="104"/>
      <c r="L219" s="104"/>
    </row>
    <row r="220" spans="2:12">
      <c r="B220" s="104"/>
      <c r="C220" s="104"/>
      <c r="D220" s="104"/>
      <c r="E220" s="104"/>
      <c r="F220" s="104"/>
      <c r="G220" s="104"/>
      <c r="H220" s="104"/>
      <c r="I220" s="104"/>
      <c r="J220" s="104"/>
      <c r="K220" s="104"/>
      <c r="L220" s="104"/>
    </row>
    <row r="221" spans="2:12">
      <c r="B221" s="104"/>
      <c r="C221" s="104"/>
      <c r="D221" s="104"/>
      <c r="E221" s="104"/>
      <c r="F221" s="104"/>
      <c r="G221" s="104"/>
      <c r="H221" s="104"/>
      <c r="I221" s="104"/>
      <c r="J221" s="104"/>
      <c r="K221" s="104"/>
      <c r="L221" s="104"/>
    </row>
    <row r="222" spans="2:12">
      <c r="B222" s="104"/>
      <c r="C222" s="104"/>
      <c r="D222" s="104"/>
      <c r="E222" s="104"/>
      <c r="F222" s="104"/>
      <c r="G222" s="104"/>
      <c r="H222" s="104"/>
      <c r="I222" s="104"/>
      <c r="J222" s="104"/>
      <c r="K222" s="104"/>
      <c r="L222" s="104"/>
    </row>
    <row r="223" spans="2:12">
      <c r="B223" s="104"/>
      <c r="C223" s="104"/>
      <c r="D223" s="104"/>
      <c r="E223" s="104"/>
      <c r="F223" s="104"/>
      <c r="G223" s="104"/>
      <c r="H223" s="104"/>
      <c r="I223" s="104"/>
      <c r="J223" s="104"/>
      <c r="K223" s="104"/>
      <c r="L223" s="104"/>
    </row>
    <row r="224" spans="2:12">
      <c r="B224" s="104"/>
      <c r="C224" s="104"/>
      <c r="D224" s="104"/>
      <c r="E224" s="104"/>
      <c r="F224" s="104"/>
      <c r="G224" s="104"/>
      <c r="H224" s="104"/>
      <c r="I224" s="104"/>
      <c r="J224" s="104"/>
      <c r="K224" s="104"/>
      <c r="L224" s="104"/>
    </row>
    <row r="225" spans="2:12">
      <c r="B225" s="104"/>
      <c r="C225" s="104"/>
      <c r="D225" s="104"/>
      <c r="E225" s="104"/>
      <c r="F225" s="104"/>
      <c r="G225" s="104"/>
      <c r="H225" s="104"/>
      <c r="I225" s="104"/>
      <c r="J225" s="104"/>
      <c r="K225" s="104"/>
      <c r="L225" s="104"/>
    </row>
    <row r="226" spans="2:12">
      <c r="B226" s="104"/>
      <c r="C226" s="104"/>
      <c r="D226" s="104"/>
      <c r="E226" s="104"/>
      <c r="F226" s="104"/>
      <c r="G226" s="104"/>
      <c r="H226" s="104"/>
      <c r="I226" s="104"/>
      <c r="J226" s="104"/>
      <c r="K226" s="104"/>
      <c r="L226" s="104"/>
    </row>
    <row r="227" spans="2:12">
      <c r="B227" s="104"/>
      <c r="C227" s="104"/>
      <c r="D227" s="104"/>
      <c r="E227" s="104"/>
      <c r="F227" s="104"/>
      <c r="G227" s="104"/>
      <c r="H227" s="104"/>
      <c r="I227" s="104"/>
      <c r="J227" s="104"/>
      <c r="K227" s="104"/>
      <c r="L227" s="104"/>
    </row>
    <row r="228" spans="2:12">
      <c r="B228" s="104"/>
      <c r="C228" s="104"/>
      <c r="D228" s="104"/>
      <c r="E228" s="104"/>
      <c r="F228" s="104"/>
      <c r="G228" s="104"/>
      <c r="H228" s="104"/>
      <c r="I228" s="104"/>
      <c r="J228" s="104"/>
      <c r="K228" s="104"/>
      <c r="L228" s="104"/>
    </row>
    <row r="229" spans="2:12">
      <c r="B229" s="104"/>
      <c r="C229" s="104"/>
      <c r="D229" s="104"/>
      <c r="E229" s="104"/>
      <c r="F229" s="104"/>
      <c r="G229" s="104"/>
      <c r="H229" s="104"/>
      <c r="I229" s="104"/>
      <c r="J229" s="104"/>
      <c r="K229" s="104"/>
      <c r="L229" s="104"/>
    </row>
    <row r="230" spans="2:12">
      <c r="B230" s="104"/>
      <c r="C230" s="104"/>
      <c r="D230" s="104"/>
      <c r="E230" s="104"/>
      <c r="F230" s="104"/>
      <c r="G230" s="104"/>
      <c r="H230" s="104"/>
      <c r="I230" s="104"/>
      <c r="J230" s="104"/>
      <c r="K230" s="104"/>
      <c r="L230" s="104"/>
    </row>
    <row r="231" spans="2:12">
      <c r="B231" s="104"/>
      <c r="C231" s="104"/>
      <c r="D231" s="104"/>
      <c r="E231" s="104"/>
      <c r="F231" s="104"/>
      <c r="G231" s="104"/>
      <c r="H231" s="104"/>
      <c r="I231" s="104"/>
      <c r="J231" s="104"/>
      <c r="K231" s="104"/>
      <c r="L231" s="104"/>
    </row>
    <row r="232" spans="2:12">
      <c r="B232" s="104"/>
      <c r="C232" s="104"/>
      <c r="D232" s="104"/>
      <c r="E232" s="104"/>
      <c r="F232" s="104"/>
      <c r="G232" s="104"/>
      <c r="H232" s="104"/>
      <c r="I232" s="104"/>
      <c r="J232" s="104"/>
      <c r="K232" s="104"/>
      <c r="L232" s="104"/>
    </row>
    <row r="233" spans="2:12">
      <c r="B233" s="104"/>
      <c r="C233" s="104"/>
      <c r="D233" s="104"/>
      <c r="E233" s="104"/>
      <c r="F233" s="104"/>
      <c r="G233" s="104"/>
      <c r="H233" s="104"/>
      <c r="I233" s="104"/>
      <c r="J233" s="104"/>
      <c r="K233" s="104"/>
      <c r="L233" s="104"/>
    </row>
    <row r="234" spans="2:12">
      <c r="B234" s="104"/>
      <c r="C234" s="104"/>
      <c r="D234" s="104"/>
      <c r="E234" s="104"/>
      <c r="F234" s="104"/>
      <c r="G234" s="104"/>
      <c r="H234" s="104"/>
      <c r="I234" s="104"/>
      <c r="J234" s="104"/>
      <c r="K234" s="104"/>
      <c r="L234" s="104"/>
    </row>
    <row r="235" spans="2:12">
      <c r="B235" s="104"/>
      <c r="C235" s="104"/>
      <c r="D235" s="104"/>
      <c r="E235" s="104"/>
      <c r="F235" s="104"/>
      <c r="G235" s="104"/>
      <c r="H235" s="104"/>
      <c r="I235" s="104"/>
      <c r="J235" s="104"/>
      <c r="K235" s="104"/>
      <c r="L235" s="104"/>
    </row>
    <row r="236" spans="2:12">
      <c r="B236" s="104"/>
      <c r="C236" s="104"/>
      <c r="D236" s="104"/>
      <c r="E236" s="104"/>
      <c r="F236" s="104"/>
      <c r="G236" s="104"/>
      <c r="H236" s="104"/>
      <c r="I236" s="104"/>
      <c r="J236" s="104"/>
      <c r="K236" s="104"/>
      <c r="L236" s="104"/>
    </row>
    <row r="237" spans="2:12">
      <c r="B237" s="104"/>
      <c r="C237" s="104"/>
      <c r="D237" s="104"/>
      <c r="E237" s="104"/>
      <c r="F237" s="104"/>
      <c r="G237" s="104"/>
      <c r="H237" s="104"/>
      <c r="I237" s="104"/>
      <c r="J237" s="104"/>
      <c r="K237" s="104"/>
      <c r="L237" s="104"/>
    </row>
    <row r="238" spans="2:12">
      <c r="B238" s="104"/>
      <c r="C238" s="104"/>
      <c r="D238" s="104"/>
      <c r="E238" s="104"/>
      <c r="F238" s="104"/>
      <c r="G238" s="104"/>
      <c r="H238" s="104"/>
      <c r="I238" s="104"/>
      <c r="J238" s="104"/>
      <c r="K238" s="104"/>
      <c r="L238" s="104"/>
    </row>
    <row r="239" spans="2:12">
      <c r="B239" s="104"/>
      <c r="C239" s="104"/>
      <c r="D239" s="104"/>
      <c r="E239" s="104"/>
      <c r="F239" s="104"/>
      <c r="G239" s="104"/>
      <c r="H239" s="104"/>
      <c r="I239" s="104"/>
      <c r="J239" s="104"/>
      <c r="K239" s="104"/>
      <c r="L239" s="104"/>
    </row>
    <row r="240" spans="2:12">
      <c r="B240" s="104"/>
      <c r="C240" s="104"/>
      <c r="D240" s="104"/>
      <c r="E240" s="104"/>
      <c r="F240" s="104"/>
      <c r="G240" s="104"/>
      <c r="H240" s="104"/>
      <c r="I240" s="104"/>
      <c r="J240" s="104"/>
      <c r="K240" s="104"/>
      <c r="L240" s="104"/>
    </row>
    <row r="241" spans="2:12">
      <c r="B241" s="104"/>
      <c r="C241" s="104"/>
      <c r="D241" s="104"/>
      <c r="E241" s="104"/>
      <c r="F241" s="104"/>
      <c r="G241" s="104"/>
      <c r="H241" s="104"/>
      <c r="I241" s="104"/>
      <c r="J241" s="104"/>
      <c r="K241" s="104"/>
      <c r="L241" s="104"/>
    </row>
    <row r="242" spans="2:12">
      <c r="B242" s="104"/>
      <c r="C242" s="104"/>
      <c r="D242" s="104"/>
      <c r="E242" s="104"/>
      <c r="F242" s="104"/>
      <c r="G242" s="104"/>
      <c r="H242" s="104"/>
      <c r="I242" s="104"/>
      <c r="J242" s="104"/>
      <c r="K242" s="104"/>
      <c r="L242" s="104"/>
    </row>
    <row r="243" spans="2:12">
      <c r="B243" s="104"/>
      <c r="C243" s="104"/>
      <c r="D243" s="104"/>
      <c r="E243" s="104"/>
      <c r="F243" s="104"/>
      <c r="G243" s="104"/>
      <c r="H243" s="104"/>
      <c r="I243" s="104"/>
      <c r="J243" s="104"/>
      <c r="K243" s="104"/>
      <c r="L243" s="104"/>
    </row>
    <row r="244" spans="2:12">
      <c r="B244" s="104"/>
      <c r="C244" s="104"/>
      <c r="D244" s="104"/>
      <c r="E244" s="104"/>
      <c r="F244" s="104"/>
      <c r="G244" s="104"/>
      <c r="H244" s="104"/>
      <c r="I244" s="104"/>
      <c r="J244" s="104"/>
      <c r="K244" s="104"/>
      <c r="L244" s="104"/>
    </row>
    <row r="245" spans="2:12">
      <c r="B245" s="104"/>
      <c r="C245" s="104"/>
      <c r="D245" s="104"/>
      <c r="E245" s="104"/>
      <c r="F245" s="104"/>
      <c r="G245" s="104"/>
      <c r="H245" s="104"/>
      <c r="I245" s="104"/>
      <c r="J245" s="104"/>
      <c r="K245" s="104"/>
      <c r="L245" s="104"/>
    </row>
    <row r="246" spans="2:12">
      <c r="B246" s="104"/>
      <c r="C246" s="104"/>
      <c r="D246" s="104"/>
      <c r="E246" s="104"/>
      <c r="F246" s="104"/>
      <c r="G246" s="104"/>
      <c r="H246" s="104"/>
      <c r="I246" s="104"/>
      <c r="J246" s="104"/>
      <c r="K246" s="104"/>
      <c r="L246" s="104"/>
    </row>
    <row r="247" spans="2:12">
      <c r="B247" s="104"/>
      <c r="C247" s="104"/>
      <c r="D247" s="104"/>
      <c r="E247" s="104"/>
      <c r="F247" s="104"/>
      <c r="G247" s="104"/>
      <c r="H247" s="104"/>
      <c r="I247" s="104"/>
      <c r="J247" s="104"/>
      <c r="K247" s="104"/>
      <c r="L247" s="104"/>
    </row>
    <row r="248" spans="2:12">
      <c r="B248" s="104"/>
      <c r="C248" s="104"/>
      <c r="D248" s="104"/>
      <c r="E248" s="104"/>
      <c r="F248" s="104"/>
      <c r="G248" s="104"/>
      <c r="H248" s="104"/>
      <c r="I248" s="104"/>
      <c r="J248" s="104"/>
      <c r="K248" s="104"/>
      <c r="L248" s="104"/>
    </row>
    <row r="249" spans="2:12">
      <c r="B249" s="104"/>
      <c r="C249" s="104"/>
      <c r="D249" s="104"/>
      <c r="E249" s="104"/>
      <c r="F249" s="104"/>
      <c r="G249" s="104"/>
      <c r="H249" s="104"/>
      <c r="I249" s="104"/>
      <c r="J249" s="104"/>
      <c r="K249" s="104"/>
      <c r="L249" s="104"/>
    </row>
    <row r="250" spans="2:12">
      <c r="B250" s="104"/>
      <c r="C250" s="104"/>
      <c r="D250" s="104"/>
      <c r="E250" s="104"/>
      <c r="F250" s="104"/>
      <c r="G250" s="104"/>
      <c r="H250" s="104"/>
      <c r="I250" s="104"/>
      <c r="J250" s="104"/>
      <c r="K250" s="104"/>
      <c r="L250" s="104"/>
    </row>
    <row r="251" spans="2:12">
      <c r="B251" s="104"/>
      <c r="C251" s="104"/>
      <c r="D251" s="104"/>
      <c r="E251" s="104"/>
      <c r="F251" s="104"/>
      <c r="G251" s="104"/>
      <c r="H251" s="104"/>
      <c r="I251" s="104"/>
      <c r="J251" s="104"/>
      <c r="K251" s="104"/>
      <c r="L251" s="104"/>
    </row>
    <row r="252" spans="2:12">
      <c r="B252" s="104"/>
      <c r="C252" s="104"/>
      <c r="D252" s="104"/>
      <c r="E252" s="104"/>
      <c r="F252" s="104"/>
      <c r="G252" s="104"/>
      <c r="H252" s="104"/>
      <c r="I252" s="104"/>
      <c r="J252" s="104"/>
      <c r="K252" s="104"/>
      <c r="L252" s="104"/>
    </row>
    <row r="253" spans="2:12">
      <c r="B253" s="104"/>
      <c r="C253" s="104"/>
      <c r="D253" s="104"/>
      <c r="E253" s="104"/>
      <c r="F253" s="104"/>
      <c r="G253" s="104"/>
      <c r="H253" s="104"/>
      <c r="I253" s="104"/>
      <c r="J253" s="104"/>
      <c r="K253" s="104"/>
      <c r="L253" s="104"/>
    </row>
    <row r="254" spans="2:12">
      <c r="B254" s="104"/>
      <c r="C254" s="104"/>
      <c r="D254" s="104"/>
      <c r="E254" s="104"/>
      <c r="F254" s="104"/>
      <c r="G254" s="104"/>
      <c r="H254" s="104"/>
      <c r="I254" s="104"/>
      <c r="J254" s="104"/>
      <c r="K254" s="104"/>
      <c r="L254" s="104"/>
    </row>
    <row r="255" spans="2:12">
      <c r="B255" s="104"/>
      <c r="C255" s="104"/>
      <c r="D255" s="104"/>
      <c r="E255" s="104"/>
      <c r="F255" s="104"/>
      <c r="G255" s="104"/>
      <c r="H255" s="104"/>
      <c r="I255" s="104"/>
      <c r="J255" s="104"/>
      <c r="K255" s="104"/>
      <c r="L255" s="104"/>
    </row>
    <row r="256" spans="2:12">
      <c r="B256" s="104"/>
      <c r="C256" s="104"/>
      <c r="D256" s="104"/>
      <c r="E256" s="104"/>
      <c r="F256" s="104"/>
      <c r="G256" s="104"/>
      <c r="H256" s="104"/>
      <c r="I256" s="104"/>
      <c r="J256" s="104"/>
      <c r="K256" s="104"/>
      <c r="L256" s="104"/>
    </row>
    <row r="257" spans="2:12">
      <c r="B257" s="104"/>
      <c r="C257" s="104"/>
      <c r="D257" s="104"/>
      <c r="E257" s="104"/>
      <c r="F257" s="104"/>
      <c r="G257" s="104"/>
      <c r="H257" s="104"/>
      <c r="I257" s="104"/>
      <c r="J257" s="104"/>
      <c r="K257" s="104"/>
      <c r="L257" s="104"/>
    </row>
    <row r="258" spans="2:12">
      <c r="B258" s="104"/>
      <c r="C258" s="104"/>
      <c r="D258" s="104"/>
      <c r="E258" s="104"/>
      <c r="F258" s="104"/>
      <c r="G258" s="104"/>
      <c r="H258" s="104"/>
      <c r="I258" s="104"/>
      <c r="J258" s="104"/>
      <c r="K258" s="104"/>
      <c r="L258" s="104"/>
    </row>
    <row r="259" spans="2:12">
      <c r="B259" s="104"/>
      <c r="C259" s="104"/>
      <c r="D259" s="104"/>
      <c r="E259" s="104"/>
      <c r="F259" s="104"/>
      <c r="G259" s="104"/>
      <c r="H259" s="104"/>
      <c r="I259" s="104"/>
      <c r="J259" s="104"/>
      <c r="K259" s="104"/>
      <c r="L259" s="104"/>
    </row>
    <row r="260" spans="2:12">
      <c r="B260" s="104"/>
      <c r="C260" s="104"/>
      <c r="D260" s="104"/>
      <c r="E260" s="104"/>
      <c r="F260" s="104"/>
      <c r="G260" s="104"/>
      <c r="H260" s="104"/>
      <c r="I260" s="104"/>
      <c r="J260" s="104"/>
      <c r="K260" s="104"/>
      <c r="L260" s="104"/>
    </row>
    <row r="261" spans="2:12">
      <c r="B261" s="104"/>
      <c r="C261" s="104"/>
      <c r="D261" s="104"/>
      <c r="E261" s="104"/>
      <c r="F261" s="104"/>
      <c r="G261" s="104"/>
      <c r="H261" s="104"/>
      <c r="I261" s="104"/>
      <c r="J261" s="104"/>
      <c r="K261" s="104"/>
      <c r="L261" s="104"/>
    </row>
    <row r="262" spans="2:12">
      <c r="B262" s="104"/>
      <c r="C262" s="104"/>
      <c r="D262" s="104"/>
      <c r="E262" s="104"/>
      <c r="F262" s="104"/>
      <c r="G262" s="104"/>
      <c r="H262" s="104"/>
      <c r="I262" s="104"/>
      <c r="J262" s="104"/>
      <c r="K262" s="104"/>
      <c r="L262" s="104"/>
    </row>
    <row r="263" spans="2:12"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</row>
    <row r="264" spans="2:12">
      <c r="B264" s="104"/>
      <c r="C264" s="104"/>
      <c r="D264" s="104"/>
      <c r="E264" s="104"/>
      <c r="F264" s="104"/>
      <c r="G264" s="104"/>
      <c r="H264" s="104"/>
      <c r="I264" s="104"/>
      <c r="J264" s="104"/>
      <c r="K264" s="104"/>
      <c r="L264" s="104"/>
    </row>
    <row r="265" spans="2:12">
      <c r="B265" s="104"/>
      <c r="C265" s="104"/>
      <c r="D265" s="104"/>
      <c r="E265" s="104"/>
      <c r="F265" s="104"/>
      <c r="G265" s="104"/>
      <c r="H265" s="104"/>
      <c r="I265" s="104"/>
      <c r="J265" s="104"/>
      <c r="K265" s="104"/>
      <c r="L265" s="104"/>
    </row>
    <row r="266" spans="2:12">
      <c r="B266" s="104"/>
      <c r="C266" s="104"/>
      <c r="D266" s="104"/>
      <c r="E266" s="104"/>
      <c r="F266" s="104"/>
      <c r="G266" s="104"/>
      <c r="H266" s="104"/>
      <c r="I266" s="104"/>
      <c r="J266" s="104"/>
      <c r="K266" s="104"/>
      <c r="L266" s="104"/>
    </row>
    <row r="267" spans="2:12">
      <c r="B267" s="104"/>
      <c r="C267" s="104"/>
      <c r="D267" s="104"/>
      <c r="E267" s="104"/>
      <c r="F267" s="104"/>
      <c r="G267" s="104"/>
      <c r="H267" s="104"/>
      <c r="I267" s="104"/>
      <c r="J267" s="104"/>
      <c r="K267" s="104"/>
      <c r="L267" s="104"/>
    </row>
    <row r="268" spans="2:12">
      <c r="B268" s="104"/>
      <c r="C268" s="104"/>
      <c r="D268" s="104"/>
      <c r="E268" s="104"/>
      <c r="F268" s="104"/>
      <c r="G268" s="104"/>
      <c r="H268" s="104"/>
      <c r="I268" s="104"/>
      <c r="J268" s="104"/>
      <c r="K268" s="104"/>
      <c r="L268" s="104"/>
    </row>
    <row r="269" spans="2:12">
      <c r="B269" s="104"/>
      <c r="C269" s="104"/>
      <c r="D269" s="104"/>
      <c r="E269" s="104"/>
      <c r="F269" s="104"/>
      <c r="G269" s="104"/>
      <c r="H269" s="104"/>
      <c r="I269" s="104"/>
      <c r="J269" s="104"/>
      <c r="K269" s="104"/>
      <c r="L269" s="104"/>
    </row>
    <row r="270" spans="2:12">
      <c r="B270" s="104"/>
      <c r="C270" s="104"/>
      <c r="D270" s="104"/>
      <c r="E270" s="104"/>
      <c r="F270" s="104"/>
      <c r="G270" s="104"/>
      <c r="H270" s="104"/>
      <c r="I270" s="104"/>
      <c r="J270" s="104"/>
      <c r="K270" s="104"/>
      <c r="L270" s="104"/>
    </row>
    <row r="271" spans="2:12">
      <c r="B271" s="104"/>
      <c r="C271" s="104"/>
      <c r="D271" s="104"/>
      <c r="E271" s="104"/>
      <c r="F271" s="104"/>
      <c r="G271" s="104"/>
      <c r="H271" s="104"/>
      <c r="I271" s="104"/>
      <c r="J271" s="104"/>
      <c r="K271" s="104"/>
      <c r="L271" s="104"/>
    </row>
    <row r="272" spans="2:12">
      <c r="B272" s="104"/>
      <c r="C272" s="104"/>
      <c r="D272" s="104"/>
      <c r="E272" s="104"/>
      <c r="F272" s="104"/>
      <c r="G272" s="104"/>
      <c r="H272" s="104"/>
      <c r="I272" s="104"/>
      <c r="J272" s="104"/>
      <c r="K272" s="104"/>
      <c r="L272" s="104"/>
    </row>
    <row r="273" spans="2:12">
      <c r="B273" s="104"/>
      <c r="C273" s="104"/>
      <c r="D273" s="104"/>
      <c r="E273" s="104"/>
      <c r="F273" s="104"/>
      <c r="G273" s="104"/>
      <c r="H273" s="104"/>
      <c r="I273" s="104"/>
      <c r="J273" s="104"/>
      <c r="K273" s="104"/>
      <c r="L273" s="104"/>
    </row>
    <row r="274" spans="2:12">
      <c r="B274" s="104"/>
      <c r="C274" s="104"/>
      <c r="D274" s="104"/>
      <c r="E274" s="104"/>
      <c r="F274" s="104"/>
      <c r="G274" s="104"/>
      <c r="H274" s="104"/>
      <c r="I274" s="104"/>
      <c r="J274" s="104"/>
      <c r="K274" s="104"/>
      <c r="L274" s="104"/>
    </row>
    <row r="275" spans="2:12"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</row>
    <row r="276" spans="2:12">
      <c r="B276" s="104"/>
      <c r="C276" s="104"/>
      <c r="D276" s="104"/>
      <c r="E276" s="104"/>
      <c r="F276" s="104"/>
      <c r="G276" s="104"/>
      <c r="H276" s="104"/>
      <c r="I276" s="104"/>
      <c r="J276" s="104"/>
      <c r="K276" s="104"/>
      <c r="L276" s="104"/>
    </row>
    <row r="277" spans="2:12">
      <c r="B277" s="104"/>
      <c r="C277" s="104"/>
      <c r="D277" s="104"/>
      <c r="E277" s="104"/>
      <c r="F277" s="104"/>
      <c r="G277" s="104"/>
      <c r="H277" s="104"/>
      <c r="I277" s="104"/>
      <c r="J277" s="104"/>
      <c r="K277" s="104"/>
      <c r="L277" s="104"/>
    </row>
    <row r="278" spans="2:12">
      <c r="B278" s="104"/>
      <c r="C278" s="104"/>
      <c r="D278" s="104"/>
      <c r="E278" s="104"/>
      <c r="F278" s="104"/>
      <c r="G278" s="104"/>
      <c r="H278" s="104"/>
      <c r="I278" s="104"/>
      <c r="J278" s="104"/>
      <c r="K278" s="104"/>
      <c r="L278" s="104"/>
    </row>
    <row r="279" spans="2:12">
      <c r="B279" s="104"/>
      <c r="C279" s="104"/>
      <c r="D279" s="104"/>
      <c r="E279" s="104"/>
      <c r="F279" s="104"/>
      <c r="G279" s="104"/>
      <c r="H279" s="104"/>
      <c r="I279" s="104"/>
      <c r="J279" s="104"/>
      <c r="K279" s="104"/>
      <c r="L279" s="104"/>
    </row>
    <row r="280" spans="2:12">
      <c r="B280" s="104"/>
      <c r="C280" s="104"/>
      <c r="D280" s="104"/>
      <c r="E280" s="104"/>
      <c r="F280" s="104"/>
      <c r="G280" s="104"/>
      <c r="H280" s="104"/>
      <c r="I280" s="104"/>
      <c r="J280" s="104"/>
      <c r="K280" s="104"/>
      <c r="L280" s="104"/>
    </row>
    <row r="281" spans="2:12">
      <c r="B281" s="104"/>
      <c r="C281" s="104"/>
      <c r="D281" s="104"/>
      <c r="E281" s="104"/>
      <c r="F281" s="104"/>
      <c r="G281" s="104"/>
      <c r="H281" s="104"/>
      <c r="I281" s="104"/>
      <c r="J281" s="104"/>
      <c r="K281" s="104"/>
      <c r="L281" s="104"/>
    </row>
    <row r="282" spans="2:12">
      <c r="B282" s="104"/>
      <c r="C282" s="104"/>
      <c r="D282" s="104"/>
      <c r="E282" s="104"/>
      <c r="F282" s="104"/>
      <c r="G282" s="104"/>
      <c r="H282" s="104"/>
      <c r="I282" s="104"/>
      <c r="J282" s="104"/>
      <c r="K282" s="104"/>
      <c r="L282" s="104"/>
    </row>
    <row r="283" spans="2:12">
      <c r="B283" s="104"/>
      <c r="C283" s="104"/>
      <c r="D283" s="104"/>
      <c r="E283" s="104"/>
      <c r="F283" s="104"/>
      <c r="G283" s="104"/>
      <c r="H283" s="104"/>
      <c r="I283" s="104"/>
      <c r="J283" s="104"/>
      <c r="K283" s="104"/>
      <c r="L283" s="104"/>
    </row>
    <row r="284" spans="2:12">
      <c r="B284" s="104"/>
      <c r="C284" s="104"/>
      <c r="D284" s="104"/>
      <c r="E284" s="104"/>
      <c r="F284" s="104"/>
      <c r="G284" s="104"/>
      <c r="H284" s="104"/>
      <c r="I284" s="104"/>
      <c r="J284" s="104"/>
      <c r="K284" s="104"/>
      <c r="L284" s="104"/>
    </row>
    <row r="285" spans="2:12">
      <c r="B285" s="104"/>
      <c r="C285" s="104"/>
      <c r="D285" s="104"/>
      <c r="E285" s="104"/>
      <c r="F285" s="104"/>
      <c r="G285" s="104"/>
      <c r="H285" s="104"/>
      <c r="I285" s="104"/>
      <c r="J285" s="104"/>
      <c r="K285" s="104"/>
      <c r="L285" s="104"/>
    </row>
    <row r="286" spans="2:12">
      <c r="B286" s="104"/>
      <c r="C286" s="104"/>
      <c r="D286" s="104"/>
      <c r="E286" s="104"/>
      <c r="F286" s="104"/>
      <c r="G286" s="104"/>
      <c r="H286" s="104"/>
      <c r="I286" s="104"/>
      <c r="J286" s="104"/>
      <c r="K286" s="104"/>
      <c r="L286" s="104"/>
    </row>
    <row r="287" spans="2:12">
      <c r="B287" s="104"/>
      <c r="C287" s="104"/>
      <c r="D287" s="104"/>
      <c r="E287" s="104"/>
      <c r="F287" s="104"/>
      <c r="G287" s="104"/>
      <c r="H287" s="104"/>
      <c r="I287" s="104"/>
      <c r="J287" s="104"/>
      <c r="K287" s="104"/>
      <c r="L287" s="104"/>
    </row>
    <row r="288" spans="2:12">
      <c r="B288" s="104"/>
      <c r="C288" s="104"/>
      <c r="D288" s="104"/>
      <c r="E288" s="104"/>
      <c r="F288" s="104"/>
      <c r="G288" s="104"/>
      <c r="H288" s="104"/>
      <c r="I288" s="104"/>
      <c r="J288" s="104"/>
      <c r="K288" s="104"/>
      <c r="L288" s="104"/>
    </row>
    <row r="289" spans="2:12">
      <c r="B289" s="104"/>
      <c r="C289" s="104"/>
      <c r="D289" s="104"/>
      <c r="E289" s="104"/>
      <c r="F289" s="104"/>
      <c r="G289" s="104"/>
      <c r="H289" s="104"/>
      <c r="I289" s="104"/>
      <c r="J289" s="104"/>
      <c r="K289" s="104"/>
      <c r="L289" s="104"/>
    </row>
    <row r="290" spans="2:12">
      <c r="B290" s="104"/>
      <c r="C290" s="104"/>
      <c r="D290" s="104"/>
      <c r="E290" s="104"/>
      <c r="F290" s="104"/>
      <c r="G290" s="104"/>
      <c r="H290" s="104"/>
      <c r="I290" s="104"/>
      <c r="J290" s="104"/>
      <c r="K290" s="104"/>
      <c r="L290" s="104"/>
    </row>
    <row r="291" spans="2:12">
      <c r="B291" s="104"/>
      <c r="C291" s="104"/>
      <c r="D291" s="104"/>
      <c r="E291" s="104"/>
      <c r="F291" s="104"/>
      <c r="G291" s="104"/>
      <c r="H291" s="104"/>
      <c r="I291" s="104"/>
      <c r="J291" s="104"/>
      <c r="K291" s="104"/>
      <c r="L291" s="104"/>
    </row>
    <row r="292" spans="2:12">
      <c r="B292" s="104"/>
      <c r="C292" s="104"/>
      <c r="D292" s="104"/>
      <c r="E292" s="104"/>
      <c r="F292" s="104"/>
      <c r="G292" s="104"/>
      <c r="H292" s="104"/>
      <c r="I292" s="104"/>
      <c r="J292" s="104"/>
      <c r="K292" s="104"/>
      <c r="L292" s="104"/>
    </row>
    <row r="293" spans="2:12">
      <c r="B293" s="104"/>
      <c r="C293" s="104"/>
      <c r="D293" s="104"/>
      <c r="E293" s="104"/>
      <c r="F293" s="104"/>
      <c r="G293" s="104"/>
      <c r="H293" s="104"/>
      <c r="I293" s="104"/>
      <c r="J293" s="104"/>
      <c r="K293" s="104"/>
      <c r="L293" s="104"/>
    </row>
    <row r="294" spans="2:12">
      <c r="B294" s="104"/>
      <c r="C294" s="104"/>
      <c r="D294" s="104"/>
      <c r="E294" s="104"/>
      <c r="F294" s="104"/>
      <c r="G294" s="104"/>
      <c r="H294" s="104"/>
      <c r="I294" s="104"/>
      <c r="J294" s="104"/>
      <c r="K294" s="104"/>
      <c r="L294" s="104"/>
    </row>
    <row r="295" spans="2:12">
      <c r="B295" s="104"/>
      <c r="C295" s="104"/>
      <c r="D295" s="104"/>
      <c r="E295" s="104"/>
      <c r="F295" s="104"/>
      <c r="G295" s="104"/>
      <c r="H295" s="104"/>
      <c r="I295" s="104"/>
      <c r="J295" s="104"/>
      <c r="K295" s="104"/>
      <c r="L295" s="104"/>
    </row>
    <row r="296" spans="2:12">
      <c r="B296" s="104"/>
      <c r="C296" s="104"/>
      <c r="D296" s="104"/>
      <c r="E296" s="104"/>
      <c r="F296" s="104"/>
      <c r="G296" s="104"/>
      <c r="H296" s="104"/>
      <c r="I296" s="104"/>
      <c r="J296" s="104"/>
      <c r="K296" s="104"/>
      <c r="L296" s="104"/>
    </row>
    <row r="297" spans="2:12">
      <c r="B297" s="104"/>
      <c r="C297" s="104"/>
      <c r="D297" s="104"/>
      <c r="E297" s="104"/>
      <c r="F297" s="104"/>
      <c r="G297" s="104"/>
      <c r="H297" s="104"/>
      <c r="I297" s="104"/>
      <c r="J297" s="104"/>
      <c r="K297" s="104"/>
      <c r="L297" s="104"/>
    </row>
    <row r="298" spans="2:12">
      <c r="B298" s="104"/>
      <c r="C298" s="104"/>
      <c r="D298" s="104"/>
      <c r="E298" s="104"/>
      <c r="F298" s="104"/>
      <c r="G298" s="104"/>
      <c r="H298" s="104"/>
      <c r="I298" s="104"/>
      <c r="J298" s="104"/>
      <c r="K298" s="104"/>
      <c r="L298" s="104"/>
    </row>
    <row r="299" spans="2:12">
      <c r="B299" s="104"/>
      <c r="C299" s="104"/>
      <c r="D299" s="104"/>
      <c r="E299" s="104"/>
      <c r="F299" s="104"/>
      <c r="G299" s="104"/>
      <c r="H299" s="104"/>
      <c r="I299" s="104"/>
      <c r="J299" s="104"/>
      <c r="K299" s="104"/>
      <c r="L299" s="104"/>
    </row>
    <row r="300" spans="2:12">
      <c r="B300" s="104"/>
      <c r="C300" s="104"/>
      <c r="D300" s="104"/>
      <c r="E300" s="104"/>
      <c r="F300" s="104"/>
      <c r="G300" s="104"/>
      <c r="H300" s="104"/>
      <c r="I300" s="104"/>
      <c r="J300" s="104"/>
      <c r="K300" s="104"/>
      <c r="L300" s="104"/>
    </row>
    <row r="301" spans="2:12">
      <c r="B301" s="104"/>
      <c r="C301" s="104"/>
      <c r="D301" s="104"/>
      <c r="E301" s="104"/>
      <c r="F301" s="104"/>
      <c r="G301" s="104"/>
      <c r="H301" s="104"/>
      <c r="I301" s="104"/>
      <c r="J301" s="104"/>
      <c r="K301" s="104"/>
      <c r="L301" s="104"/>
    </row>
    <row r="302" spans="2:12">
      <c r="B302" s="104"/>
      <c r="C302" s="104"/>
      <c r="D302" s="104"/>
      <c r="E302" s="104"/>
      <c r="F302" s="104"/>
      <c r="G302" s="104"/>
      <c r="H302" s="104"/>
      <c r="I302" s="104"/>
      <c r="J302" s="104"/>
      <c r="K302" s="104"/>
      <c r="L302" s="104"/>
    </row>
    <row r="303" spans="2:12">
      <c r="B303" s="104"/>
      <c r="C303" s="104"/>
      <c r="D303" s="104"/>
      <c r="E303" s="104"/>
      <c r="F303" s="104"/>
      <c r="G303" s="104"/>
      <c r="H303" s="104"/>
      <c r="I303" s="104"/>
      <c r="J303" s="104"/>
      <c r="K303" s="104"/>
      <c r="L303" s="104"/>
    </row>
    <row r="304" spans="2:12">
      <c r="B304" s="104"/>
      <c r="C304" s="104"/>
      <c r="D304" s="104"/>
      <c r="E304" s="104"/>
      <c r="F304" s="104"/>
      <c r="G304" s="104"/>
      <c r="H304" s="104"/>
      <c r="I304" s="104"/>
      <c r="J304" s="104"/>
      <c r="K304" s="104"/>
      <c r="L304" s="104"/>
    </row>
    <row r="305" spans="2:12">
      <c r="B305" s="104"/>
      <c r="C305" s="104"/>
      <c r="D305" s="104"/>
      <c r="E305" s="104"/>
      <c r="F305" s="104"/>
      <c r="G305" s="104"/>
      <c r="H305" s="104"/>
      <c r="I305" s="104"/>
      <c r="J305" s="104"/>
      <c r="K305" s="104"/>
      <c r="L305" s="104"/>
    </row>
    <row r="306" spans="2:12">
      <c r="B306" s="104"/>
      <c r="C306" s="104"/>
      <c r="D306" s="104"/>
      <c r="E306" s="104"/>
      <c r="F306" s="104"/>
      <c r="G306" s="104"/>
      <c r="H306" s="104"/>
      <c r="I306" s="104"/>
      <c r="J306" s="104"/>
      <c r="K306" s="104"/>
      <c r="L306" s="104"/>
    </row>
    <row r="307" spans="2:12">
      <c r="B307" s="104"/>
      <c r="C307" s="104"/>
      <c r="D307" s="104"/>
      <c r="E307" s="104"/>
      <c r="F307" s="104"/>
      <c r="G307" s="104"/>
      <c r="H307" s="104"/>
      <c r="I307" s="104"/>
      <c r="J307" s="104"/>
      <c r="K307" s="104"/>
      <c r="L307" s="104"/>
    </row>
    <row r="308" spans="2:12">
      <c r="B308" s="104"/>
      <c r="C308" s="104"/>
      <c r="D308" s="104"/>
      <c r="E308" s="104"/>
      <c r="F308" s="104"/>
      <c r="G308" s="104"/>
      <c r="H308" s="104"/>
      <c r="I308" s="104"/>
      <c r="J308" s="104"/>
      <c r="K308" s="104"/>
      <c r="L308" s="104"/>
    </row>
    <row r="309" spans="2:12">
      <c r="B309" s="104"/>
      <c r="C309" s="104"/>
      <c r="D309" s="104"/>
      <c r="E309" s="104"/>
      <c r="F309" s="104"/>
      <c r="G309" s="104"/>
      <c r="H309" s="104"/>
      <c r="I309" s="104"/>
      <c r="J309" s="104"/>
      <c r="K309" s="104"/>
      <c r="L309" s="104"/>
    </row>
    <row r="310" spans="2:12">
      <c r="B310" s="104"/>
      <c r="C310" s="104"/>
      <c r="D310" s="104"/>
      <c r="E310" s="104"/>
      <c r="F310" s="104"/>
      <c r="G310" s="104"/>
      <c r="H310" s="104"/>
      <c r="I310" s="104"/>
      <c r="J310" s="104"/>
      <c r="K310" s="104"/>
      <c r="L310" s="104"/>
    </row>
    <row r="311" spans="2:12">
      <c r="B311" s="104"/>
      <c r="C311" s="104"/>
      <c r="D311" s="104"/>
      <c r="E311" s="104"/>
      <c r="F311" s="104"/>
      <c r="G311" s="104"/>
      <c r="H311" s="104"/>
      <c r="I311" s="104"/>
      <c r="J311" s="104"/>
      <c r="K311" s="104"/>
      <c r="L311" s="104"/>
    </row>
    <row r="312" spans="2:12">
      <c r="B312" s="104"/>
      <c r="C312" s="104"/>
      <c r="D312" s="104"/>
      <c r="E312" s="104"/>
      <c r="F312" s="104"/>
      <c r="G312" s="104"/>
      <c r="H312" s="104"/>
      <c r="I312" s="104"/>
      <c r="J312" s="104"/>
      <c r="K312" s="104"/>
      <c r="L312" s="104"/>
    </row>
    <row r="313" spans="2:12">
      <c r="B313" s="104"/>
      <c r="C313" s="104"/>
      <c r="D313" s="104"/>
      <c r="E313" s="104"/>
      <c r="F313" s="104"/>
      <c r="G313" s="104"/>
      <c r="H313" s="104"/>
      <c r="I313" s="104"/>
      <c r="J313" s="104"/>
      <c r="K313" s="104"/>
      <c r="L313" s="104"/>
    </row>
    <row r="314" spans="2:12"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</row>
    <row r="315" spans="2:12">
      <c r="B315" s="104"/>
      <c r="C315" s="104"/>
      <c r="D315" s="104"/>
      <c r="E315" s="104"/>
      <c r="F315" s="104"/>
      <c r="G315" s="104"/>
      <c r="H315" s="104"/>
      <c r="I315" s="104"/>
      <c r="J315" s="104"/>
      <c r="K315" s="104"/>
      <c r="L315" s="104"/>
    </row>
    <row r="316" spans="2:12">
      <c r="B316" s="104"/>
      <c r="C316" s="104"/>
      <c r="D316" s="104"/>
      <c r="E316" s="104"/>
      <c r="F316" s="104"/>
      <c r="G316" s="104"/>
      <c r="H316" s="104"/>
      <c r="I316" s="104"/>
      <c r="J316" s="104"/>
      <c r="K316" s="104"/>
      <c r="L316" s="104"/>
    </row>
    <row r="317" spans="2:12">
      <c r="B317" s="104"/>
      <c r="C317" s="104"/>
      <c r="D317" s="104"/>
      <c r="E317" s="104"/>
      <c r="F317" s="104"/>
      <c r="G317" s="104"/>
      <c r="H317" s="104"/>
      <c r="I317" s="104"/>
      <c r="J317" s="104"/>
      <c r="K317" s="104"/>
      <c r="L317" s="104"/>
    </row>
    <row r="318" spans="2:12">
      <c r="B318" s="104"/>
      <c r="C318" s="104"/>
      <c r="D318" s="104"/>
      <c r="E318" s="104"/>
      <c r="F318" s="104"/>
      <c r="G318" s="104"/>
      <c r="H318" s="104"/>
      <c r="I318" s="104"/>
      <c r="J318" s="104"/>
      <c r="K318" s="104"/>
      <c r="L318" s="104"/>
    </row>
    <row r="319" spans="2:12">
      <c r="B319" s="104"/>
      <c r="C319" s="104"/>
      <c r="D319" s="104"/>
      <c r="E319" s="104"/>
      <c r="F319" s="104"/>
      <c r="G319" s="104"/>
      <c r="H319" s="104"/>
      <c r="I319" s="104"/>
      <c r="J319" s="104"/>
      <c r="K319" s="104"/>
      <c r="L319" s="104"/>
    </row>
    <row r="320" spans="2:12">
      <c r="B320" s="104"/>
      <c r="C320" s="104"/>
      <c r="D320" s="104"/>
      <c r="E320" s="104"/>
      <c r="F320" s="104"/>
      <c r="G320" s="104"/>
      <c r="H320" s="104"/>
      <c r="I320" s="104"/>
      <c r="J320" s="104"/>
      <c r="K320" s="104"/>
      <c r="L320" s="104"/>
    </row>
    <row r="321" spans="2:12">
      <c r="B321" s="104"/>
      <c r="C321" s="104"/>
      <c r="D321" s="104"/>
      <c r="E321" s="104"/>
      <c r="F321" s="104"/>
      <c r="G321" s="104"/>
      <c r="H321" s="104"/>
      <c r="I321" s="104"/>
      <c r="J321" s="104"/>
      <c r="K321" s="104"/>
      <c r="L321" s="104"/>
    </row>
    <row r="322" spans="2:12">
      <c r="B322" s="104"/>
      <c r="C322" s="104"/>
      <c r="D322" s="104"/>
      <c r="E322" s="104"/>
      <c r="F322" s="104"/>
      <c r="G322" s="104"/>
      <c r="H322" s="104"/>
      <c r="I322" s="104"/>
      <c r="J322" s="104"/>
      <c r="K322" s="104"/>
      <c r="L322" s="104"/>
    </row>
    <row r="323" spans="2:12">
      <c r="B323" s="104"/>
      <c r="C323" s="104"/>
      <c r="D323" s="104"/>
      <c r="E323" s="104"/>
      <c r="F323" s="104"/>
      <c r="G323" s="104"/>
      <c r="H323" s="104"/>
      <c r="I323" s="104"/>
      <c r="J323" s="104"/>
      <c r="K323" s="104"/>
      <c r="L323" s="104"/>
    </row>
    <row r="324" spans="2:12">
      <c r="B324" s="104"/>
      <c r="C324" s="104"/>
      <c r="D324" s="104"/>
      <c r="E324" s="104"/>
      <c r="F324" s="104"/>
      <c r="G324" s="104"/>
      <c r="H324" s="104"/>
      <c r="I324" s="104"/>
      <c r="J324" s="104"/>
      <c r="K324" s="104"/>
      <c r="L324" s="104"/>
    </row>
    <row r="325" spans="2:12">
      <c r="B325" s="104"/>
      <c r="C325" s="104"/>
      <c r="D325" s="104"/>
      <c r="E325" s="104"/>
      <c r="F325" s="104"/>
      <c r="G325" s="104"/>
      <c r="H325" s="104"/>
      <c r="I325" s="104"/>
      <c r="J325" s="104"/>
      <c r="K325" s="104"/>
      <c r="L325" s="104"/>
    </row>
    <row r="326" spans="2:12">
      <c r="B326" s="104"/>
      <c r="C326" s="104"/>
      <c r="D326" s="104"/>
      <c r="E326" s="104"/>
      <c r="F326" s="104"/>
      <c r="G326" s="104"/>
      <c r="H326" s="104"/>
      <c r="I326" s="104"/>
      <c r="J326" s="104"/>
      <c r="K326" s="104"/>
      <c r="L326" s="104"/>
    </row>
    <row r="327" spans="2:12">
      <c r="B327" s="104"/>
      <c r="C327" s="104"/>
      <c r="D327" s="104"/>
      <c r="E327" s="104"/>
      <c r="F327" s="104"/>
      <c r="G327" s="104"/>
      <c r="H327" s="104"/>
      <c r="I327" s="104"/>
      <c r="J327" s="104"/>
      <c r="K327" s="104"/>
      <c r="L327" s="104"/>
    </row>
    <row r="328" spans="2:12"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</row>
    <row r="329" spans="2:12">
      <c r="B329" s="104"/>
      <c r="C329" s="104"/>
      <c r="D329" s="104"/>
      <c r="E329" s="104"/>
      <c r="F329" s="104"/>
      <c r="G329" s="104"/>
      <c r="H329" s="104"/>
      <c r="I329" s="104"/>
      <c r="J329" s="104"/>
      <c r="K329" s="104"/>
      <c r="L329" s="104"/>
    </row>
    <row r="330" spans="2:12">
      <c r="B330" s="104"/>
      <c r="C330" s="104"/>
      <c r="D330" s="104"/>
      <c r="E330" s="104"/>
      <c r="F330" s="104"/>
      <c r="G330" s="104"/>
      <c r="H330" s="104"/>
      <c r="I330" s="104"/>
      <c r="J330" s="104"/>
      <c r="K330" s="104"/>
      <c r="L330" s="104"/>
    </row>
    <row r="331" spans="2:12">
      <c r="B331" s="104"/>
      <c r="C331" s="104"/>
      <c r="D331" s="104"/>
      <c r="E331" s="104"/>
      <c r="F331" s="104"/>
      <c r="G331" s="104"/>
      <c r="H331" s="104"/>
      <c r="I331" s="104"/>
      <c r="J331" s="104"/>
      <c r="K331" s="104"/>
      <c r="L331" s="104"/>
    </row>
    <row r="332" spans="2:12">
      <c r="B332" s="104"/>
      <c r="C332" s="104"/>
      <c r="D332" s="104"/>
      <c r="E332" s="104"/>
      <c r="F332" s="104"/>
      <c r="G332" s="104"/>
      <c r="H332" s="104"/>
      <c r="I332" s="104"/>
      <c r="J332" s="104"/>
      <c r="K332" s="104"/>
      <c r="L332" s="104"/>
    </row>
    <row r="333" spans="2:12">
      <c r="B333" s="104"/>
      <c r="C333" s="104"/>
      <c r="D333" s="104"/>
      <c r="E333" s="104"/>
      <c r="F333" s="104"/>
      <c r="G333" s="104"/>
      <c r="H333" s="104"/>
      <c r="I333" s="104"/>
      <c r="J333" s="104"/>
      <c r="K333" s="104"/>
      <c r="L333" s="104"/>
    </row>
    <row r="334" spans="2:12">
      <c r="B334" s="104"/>
      <c r="C334" s="104"/>
      <c r="D334" s="104"/>
      <c r="E334" s="104"/>
      <c r="F334" s="104"/>
      <c r="G334" s="104"/>
      <c r="H334" s="104"/>
      <c r="I334" s="104"/>
      <c r="J334" s="104"/>
      <c r="K334" s="104"/>
      <c r="L334" s="104"/>
    </row>
    <row r="335" spans="2:12">
      <c r="B335" s="104"/>
      <c r="C335" s="104"/>
      <c r="D335" s="104"/>
      <c r="E335" s="104"/>
      <c r="F335" s="104"/>
      <c r="G335" s="104"/>
      <c r="H335" s="104"/>
      <c r="I335" s="104"/>
      <c r="J335" s="104"/>
      <c r="K335" s="104"/>
      <c r="L335" s="104"/>
    </row>
    <row r="336" spans="2:12">
      <c r="B336" s="104"/>
      <c r="C336" s="104"/>
      <c r="D336" s="104"/>
      <c r="E336" s="104"/>
      <c r="F336" s="104"/>
      <c r="G336" s="104"/>
      <c r="H336" s="104"/>
      <c r="I336" s="104"/>
      <c r="J336" s="104"/>
      <c r="K336" s="104"/>
      <c r="L336" s="104"/>
    </row>
    <row r="337" spans="2:12">
      <c r="B337" s="104"/>
      <c r="C337" s="104"/>
      <c r="D337" s="104"/>
      <c r="E337" s="104"/>
      <c r="F337" s="104"/>
      <c r="G337" s="104"/>
      <c r="H337" s="104"/>
      <c r="I337" s="104"/>
      <c r="J337" s="104"/>
      <c r="K337" s="104"/>
      <c r="L337" s="104"/>
    </row>
    <row r="338" spans="2:12">
      <c r="B338" s="104"/>
      <c r="C338" s="104"/>
      <c r="D338" s="104"/>
      <c r="E338" s="104"/>
      <c r="F338" s="104"/>
      <c r="G338" s="104"/>
      <c r="H338" s="104"/>
      <c r="I338" s="104"/>
      <c r="J338" s="104"/>
      <c r="K338" s="104"/>
      <c r="L338" s="104"/>
    </row>
    <row r="339" spans="2:12">
      <c r="B339" s="104"/>
      <c r="C339" s="104"/>
      <c r="D339" s="104"/>
      <c r="E339" s="104"/>
      <c r="F339" s="104"/>
      <c r="G339" s="104"/>
      <c r="H339" s="104"/>
      <c r="I339" s="104"/>
      <c r="J339" s="104"/>
      <c r="K339" s="104"/>
      <c r="L339" s="104"/>
    </row>
    <row r="340" spans="2:12">
      <c r="B340" s="104"/>
      <c r="C340" s="104"/>
      <c r="D340" s="104"/>
      <c r="E340" s="104"/>
      <c r="F340" s="104"/>
      <c r="G340" s="104"/>
      <c r="H340" s="104"/>
      <c r="I340" s="104"/>
      <c r="J340" s="104"/>
      <c r="K340" s="104"/>
      <c r="L340" s="104"/>
    </row>
    <row r="341" spans="2:12">
      <c r="B341" s="104"/>
      <c r="C341" s="104"/>
      <c r="D341" s="104"/>
      <c r="E341" s="104"/>
      <c r="F341" s="104"/>
      <c r="G341" s="104"/>
      <c r="H341" s="104"/>
      <c r="I341" s="104"/>
      <c r="J341" s="104"/>
      <c r="K341" s="104"/>
      <c r="L341" s="104"/>
    </row>
    <row r="342" spans="2:12">
      <c r="B342" s="104"/>
      <c r="C342" s="104"/>
      <c r="D342" s="104"/>
      <c r="E342" s="104"/>
      <c r="F342" s="104"/>
      <c r="G342" s="104"/>
      <c r="H342" s="104"/>
      <c r="I342" s="104"/>
      <c r="J342" s="104"/>
      <c r="K342" s="104"/>
      <c r="L342" s="104"/>
    </row>
    <row r="343" spans="2:12">
      <c r="B343" s="104"/>
      <c r="C343" s="104"/>
      <c r="D343" s="104"/>
      <c r="E343" s="104"/>
      <c r="F343" s="104"/>
      <c r="G343" s="104"/>
      <c r="H343" s="104"/>
      <c r="I343" s="104"/>
      <c r="J343" s="104"/>
      <c r="K343" s="104"/>
      <c r="L343" s="104"/>
    </row>
    <row r="344" spans="2:12">
      <c r="B344" s="104"/>
      <c r="C344" s="104"/>
      <c r="D344" s="104"/>
      <c r="E344" s="104"/>
      <c r="F344" s="104"/>
      <c r="G344" s="104"/>
      <c r="H344" s="104"/>
      <c r="I344" s="104"/>
      <c r="J344" s="104"/>
      <c r="K344" s="104"/>
      <c r="L344" s="104"/>
    </row>
    <row r="345" spans="2:12">
      <c r="B345" s="104"/>
      <c r="C345" s="104"/>
      <c r="D345" s="104"/>
      <c r="E345" s="104"/>
      <c r="F345" s="104"/>
      <c r="G345" s="104"/>
      <c r="H345" s="104"/>
      <c r="I345" s="104"/>
      <c r="J345" s="104"/>
      <c r="K345" s="104"/>
      <c r="L345" s="104"/>
    </row>
    <row r="346" spans="2:12">
      <c r="B346" s="104"/>
      <c r="C346" s="104"/>
      <c r="D346" s="104"/>
      <c r="E346" s="104"/>
      <c r="F346" s="104"/>
      <c r="G346" s="104"/>
      <c r="H346" s="104"/>
      <c r="I346" s="104"/>
      <c r="J346" s="104"/>
      <c r="K346" s="104"/>
      <c r="L346" s="104"/>
    </row>
    <row r="347" spans="2:12">
      <c r="B347" s="104"/>
      <c r="C347" s="104"/>
      <c r="D347" s="104"/>
      <c r="E347" s="104"/>
      <c r="F347" s="104"/>
      <c r="G347" s="104"/>
      <c r="H347" s="104"/>
      <c r="I347" s="104"/>
      <c r="J347" s="104"/>
      <c r="K347" s="104"/>
      <c r="L347" s="104"/>
    </row>
    <row r="348" spans="2:12">
      <c r="B348" s="104"/>
      <c r="C348" s="104"/>
      <c r="D348" s="104"/>
      <c r="E348" s="104"/>
      <c r="F348" s="104"/>
      <c r="G348" s="104"/>
      <c r="H348" s="104"/>
      <c r="I348" s="104"/>
      <c r="J348" s="104"/>
      <c r="K348" s="104"/>
      <c r="L348" s="104"/>
    </row>
    <row r="349" spans="2:12">
      <c r="B349" s="104"/>
      <c r="C349" s="104"/>
      <c r="D349" s="104"/>
      <c r="E349" s="104"/>
      <c r="F349" s="104"/>
      <c r="G349" s="104"/>
      <c r="H349" s="104"/>
      <c r="I349" s="104"/>
      <c r="J349" s="104"/>
      <c r="K349" s="104"/>
      <c r="L349" s="104"/>
    </row>
    <row r="350" spans="2:12">
      <c r="B350" s="104"/>
      <c r="C350" s="104"/>
      <c r="D350" s="104"/>
      <c r="E350" s="104"/>
      <c r="F350" s="104"/>
      <c r="G350" s="104"/>
      <c r="H350" s="104"/>
      <c r="I350" s="104"/>
      <c r="J350" s="104"/>
      <c r="K350" s="104"/>
      <c r="L350" s="104"/>
    </row>
    <row r="351" spans="2:12">
      <c r="B351" s="104"/>
      <c r="C351" s="104"/>
      <c r="D351" s="104"/>
      <c r="E351" s="104"/>
      <c r="F351" s="104"/>
      <c r="G351" s="104"/>
      <c r="H351" s="104"/>
      <c r="I351" s="104"/>
      <c r="J351" s="104"/>
      <c r="K351" s="104"/>
      <c r="L351" s="104"/>
    </row>
    <row r="352" spans="2:12">
      <c r="B352" s="104"/>
      <c r="C352" s="104"/>
      <c r="D352" s="104"/>
      <c r="E352" s="104"/>
      <c r="F352" s="104"/>
      <c r="G352" s="104"/>
      <c r="H352" s="104"/>
      <c r="I352" s="104"/>
      <c r="J352" s="104"/>
      <c r="K352" s="104"/>
      <c r="L352" s="104"/>
    </row>
    <row r="353" spans="2:12">
      <c r="B353" s="104"/>
      <c r="C353" s="104"/>
      <c r="D353" s="104"/>
      <c r="E353" s="104"/>
      <c r="F353" s="104"/>
      <c r="G353" s="104"/>
      <c r="H353" s="104"/>
      <c r="I353" s="104"/>
      <c r="J353" s="104"/>
      <c r="K353" s="104"/>
      <c r="L353" s="104"/>
    </row>
    <row r="354" spans="2:12">
      <c r="B354" s="104"/>
      <c r="C354" s="104"/>
      <c r="D354" s="104"/>
      <c r="E354" s="104"/>
      <c r="F354" s="104"/>
      <c r="G354" s="104"/>
      <c r="H354" s="104"/>
      <c r="I354" s="104"/>
      <c r="J354" s="104"/>
      <c r="K354" s="104"/>
      <c r="L354" s="104"/>
    </row>
    <row r="355" spans="2:12">
      <c r="B355" s="104"/>
      <c r="C355" s="104"/>
      <c r="D355" s="104"/>
      <c r="E355" s="104"/>
      <c r="F355" s="104"/>
      <c r="G355" s="104"/>
      <c r="H355" s="104"/>
      <c r="I355" s="104"/>
      <c r="J355" s="104"/>
      <c r="K355" s="104"/>
      <c r="L355" s="104"/>
    </row>
    <row r="356" spans="2:12">
      <c r="B356" s="104"/>
      <c r="C356" s="104"/>
      <c r="D356" s="104"/>
      <c r="E356" s="104"/>
      <c r="F356" s="104"/>
      <c r="G356" s="104"/>
      <c r="H356" s="104"/>
      <c r="I356" s="104"/>
      <c r="J356" s="104"/>
      <c r="K356" s="104"/>
      <c r="L356" s="104"/>
    </row>
    <row r="357" spans="2:12">
      <c r="B357" s="104"/>
      <c r="C357" s="104"/>
      <c r="D357" s="104"/>
      <c r="E357" s="104"/>
      <c r="F357" s="104"/>
      <c r="G357" s="104"/>
      <c r="H357" s="104"/>
      <c r="I357" s="104"/>
      <c r="J357" s="104"/>
      <c r="K357" s="104"/>
      <c r="L357" s="104"/>
    </row>
    <row r="358" spans="2:12">
      <c r="B358" s="104"/>
      <c r="C358" s="104"/>
      <c r="D358" s="104"/>
      <c r="E358" s="104"/>
      <c r="F358" s="104"/>
      <c r="G358" s="104"/>
      <c r="H358" s="104"/>
      <c r="I358" s="104"/>
      <c r="J358" s="104"/>
      <c r="K358" s="104"/>
      <c r="L358" s="104"/>
    </row>
    <row r="359" spans="2:12">
      <c r="B359" s="104"/>
      <c r="C359" s="104"/>
      <c r="D359" s="104"/>
      <c r="E359" s="104"/>
      <c r="F359" s="104"/>
      <c r="G359" s="104"/>
      <c r="H359" s="104"/>
      <c r="I359" s="104"/>
      <c r="J359" s="104"/>
      <c r="K359" s="104"/>
      <c r="L359" s="104"/>
    </row>
    <row r="360" spans="2:12">
      <c r="B360" s="104"/>
      <c r="C360" s="104"/>
      <c r="D360" s="104"/>
      <c r="E360" s="104"/>
      <c r="F360" s="104"/>
      <c r="G360" s="104"/>
      <c r="H360" s="104"/>
      <c r="I360" s="104"/>
      <c r="J360" s="104"/>
      <c r="K360" s="104"/>
      <c r="L360" s="104"/>
    </row>
    <row r="361" spans="2:12">
      <c r="B361" s="104"/>
      <c r="C361" s="104"/>
      <c r="D361" s="104"/>
      <c r="E361" s="104"/>
      <c r="F361" s="104"/>
      <c r="G361" s="104"/>
      <c r="H361" s="104"/>
      <c r="I361" s="104"/>
      <c r="J361" s="104"/>
      <c r="K361" s="104"/>
      <c r="L361" s="104"/>
    </row>
    <row r="362" spans="2:12">
      <c r="B362" s="104"/>
      <c r="C362" s="104"/>
      <c r="D362" s="104"/>
      <c r="E362" s="104"/>
      <c r="F362" s="104"/>
      <c r="G362" s="104"/>
      <c r="H362" s="104"/>
      <c r="I362" s="104"/>
      <c r="J362" s="104"/>
      <c r="K362" s="104"/>
      <c r="L362" s="104"/>
    </row>
    <row r="363" spans="2:12">
      <c r="B363" s="104"/>
      <c r="C363" s="104"/>
      <c r="D363" s="104"/>
      <c r="E363" s="104"/>
      <c r="F363" s="104"/>
      <c r="G363" s="104"/>
      <c r="H363" s="104"/>
      <c r="I363" s="104"/>
      <c r="J363" s="104"/>
      <c r="K363" s="104"/>
      <c r="L363" s="104"/>
    </row>
    <row r="364" spans="2:12">
      <c r="B364" s="104"/>
      <c r="C364" s="104"/>
      <c r="D364" s="104"/>
      <c r="E364" s="104"/>
      <c r="F364" s="104"/>
      <c r="G364" s="104"/>
      <c r="H364" s="104"/>
      <c r="I364" s="104"/>
      <c r="J364" s="104"/>
      <c r="K364" s="104"/>
      <c r="L364" s="104"/>
    </row>
    <row r="365" spans="2:12">
      <c r="B365" s="104"/>
      <c r="C365" s="104"/>
      <c r="D365" s="104"/>
      <c r="E365" s="104"/>
      <c r="F365" s="104"/>
      <c r="G365" s="104"/>
      <c r="H365" s="104"/>
      <c r="I365" s="104"/>
      <c r="J365" s="104"/>
      <c r="K365" s="104"/>
      <c r="L365" s="104"/>
    </row>
    <row r="366" spans="2:12">
      <c r="B366" s="104"/>
      <c r="C366" s="104"/>
      <c r="D366" s="104"/>
      <c r="E366" s="104"/>
      <c r="F366" s="104"/>
      <c r="G366" s="104"/>
      <c r="H366" s="104"/>
      <c r="I366" s="104"/>
      <c r="J366" s="104"/>
      <c r="K366" s="104"/>
      <c r="L366" s="104"/>
    </row>
    <row r="367" spans="2:12">
      <c r="B367" s="104"/>
      <c r="C367" s="104"/>
      <c r="D367" s="104"/>
      <c r="E367" s="104"/>
      <c r="F367" s="104"/>
      <c r="G367" s="104"/>
      <c r="H367" s="104"/>
      <c r="I367" s="104"/>
      <c r="J367" s="104"/>
      <c r="K367" s="104"/>
      <c r="L367" s="104"/>
    </row>
    <row r="368" spans="2:12">
      <c r="B368" s="104"/>
      <c r="C368" s="104"/>
      <c r="D368" s="104"/>
      <c r="E368" s="104"/>
      <c r="F368" s="104"/>
      <c r="G368" s="104"/>
      <c r="H368" s="104"/>
      <c r="I368" s="104"/>
      <c r="J368" s="104"/>
      <c r="K368" s="104"/>
      <c r="L368" s="104"/>
    </row>
    <row r="369" spans="2:12">
      <c r="B369" s="104"/>
      <c r="C369" s="104"/>
      <c r="D369" s="104"/>
      <c r="E369" s="104"/>
      <c r="F369" s="104"/>
      <c r="G369" s="104"/>
      <c r="H369" s="104"/>
      <c r="I369" s="104"/>
      <c r="J369" s="104"/>
      <c r="K369" s="104"/>
      <c r="L369" s="104"/>
    </row>
    <row r="370" spans="2:12">
      <c r="B370" s="104"/>
      <c r="C370" s="104"/>
      <c r="D370" s="104"/>
      <c r="E370" s="104"/>
      <c r="F370" s="104"/>
      <c r="G370" s="104"/>
      <c r="H370" s="104"/>
      <c r="I370" s="104"/>
      <c r="J370" s="104"/>
      <c r="K370" s="104"/>
      <c r="L370" s="104"/>
    </row>
    <row r="371" spans="2:12">
      <c r="B371" s="104"/>
      <c r="C371" s="104"/>
      <c r="D371" s="104"/>
      <c r="E371" s="104"/>
      <c r="F371" s="104"/>
      <c r="G371" s="104"/>
      <c r="H371" s="104"/>
      <c r="I371" s="104"/>
      <c r="J371" s="104"/>
      <c r="K371" s="104"/>
      <c r="L371" s="104"/>
    </row>
    <row r="372" spans="2:12">
      <c r="B372" s="104"/>
      <c r="C372" s="104"/>
      <c r="D372" s="104"/>
      <c r="E372" s="104"/>
      <c r="F372" s="104"/>
      <c r="G372" s="104"/>
      <c r="H372" s="104"/>
      <c r="I372" s="104"/>
      <c r="J372" s="104"/>
      <c r="K372" s="104"/>
      <c r="L372" s="104"/>
    </row>
    <row r="373" spans="2:12">
      <c r="B373" s="104"/>
      <c r="C373" s="104"/>
      <c r="D373" s="104"/>
      <c r="E373" s="104"/>
      <c r="F373" s="104"/>
      <c r="G373" s="104"/>
      <c r="H373" s="104"/>
      <c r="I373" s="104"/>
      <c r="J373" s="104"/>
      <c r="K373" s="104"/>
      <c r="L373" s="104"/>
    </row>
    <row r="374" spans="2:12">
      <c r="B374" s="104"/>
      <c r="C374" s="104"/>
      <c r="D374" s="104"/>
      <c r="E374" s="104"/>
      <c r="F374" s="104"/>
      <c r="G374" s="104"/>
      <c r="H374" s="104"/>
      <c r="I374" s="104"/>
      <c r="J374" s="104"/>
      <c r="K374" s="104"/>
      <c r="L374" s="104"/>
    </row>
    <row r="375" spans="2:12">
      <c r="B375" s="104"/>
      <c r="C375" s="104"/>
      <c r="D375" s="104"/>
      <c r="E375" s="104"/>
      <c r="F375" s="104"/>
      <c r="G375" s="104"/>
      <c r="H375" s="104"/>
      <c r="I375" s="104"/>
      <c r="J375" s="104"/>
      <c r="K375" s="104"/>
      <c r="L375" s="104"/>
    </row>
    <row r="376" spans="2:12">
      <c r="B376" s="104"/>
      <c r="C376" s="104"/>
      <c r="D376" s="104"/>
      <c r="E376" s="104"/>
      <c r="F376" s="104"/>
      <c r="G376" s="104"/>
      <c r="H376" s="104"/>
      <c r="I376" s="104"/>
      <c r="J376" s="104"/>
      <c r="K376" s="104"/>
      <c r="L376" s="104"/>
    </row>
    <row r="377" spans="2:12">
      <c r="B377" s="104"/>
      <c r="C377" s="104"/>
      <c r="D377" s="104"/>
      <c r="E377" s="104"/>
      <c r="F377" s="104"/>
      <c r="G377" s="104"/>
      <c r="H377" s="104"/>
      <c r="I377" s="104"/>
      <c r="J377" s="104"/>
      <c r="K377" s="104"/>
      <c r="L377" s="104"/>
    </row>
    <row r="378" spans="2:12">
      <c r="B378" s="104"/>
      <c r="C378" s="104"/>
      <c r="D378" s="104"/>
      <c r="E378" s="104"/>
      <c r="F378" s="104"/>
      <c r="G378" s="104"/>
      <c r="H378" s="104"/>
      <c r="I378" s="104"/>
      <c r="J378" s="104"/>
      <c r="K378" s="104"/>
      <c r="L378" s="104"/>
    </row>
    <row r="379" spans="2:12">
      <c r="B379" s="104"/>
      <c r="C379" s="104"/>
      <c r="D379" s="104"/>
      <c r="E379" s="104"/>
      <c r="F379" s="104"/>
      <c r="G379" s="104"/>
      <c r="H379" s="104"/>
      <c r="I379" s="104"/>
      <c r="J379" s="104"/>
      <c r="K379" s="104"/>
      <c r="L379" s="104"/>
    </row>
    <row r="380" spans="2:12">
      <c r="B380" s="104"/>
      <c r="C380" s="104"/>
      <c r="D380" s="104"/>
      <c r="E380" s="104"/>
      <c r="F380" s="104"/>
      <c r="G380" s="104"/>
      <c r="H380" s="104"/>
      <c r="I380" s="104"/>
      <c r="J380" s="104"/>
      <c r="K380" s="104"/>
      <c r="L380" s="104"/>
    </row>
    <row r="381" spans="2:12">
      <c r="B381" s="104"/>
      <c r="C381" s="104"/>
      <c r="D381" s="104"/>
      <c r="E381" s="104"/>
      <c r="F381" s="104"/>
      <c r="G381" s="104"/>
      <c r="H381" s="104"/>
      <c r="I381" s="104"/>
      <c r="J381" s="104"/>
      <c r="K381" s="104"/>
      <c r="L381" s="104"/>
    </row>
    <row r="382" spans="2:12">
      <c r="B382" s="104"/>
      <c r="C382" s="104"/>
      <c r="D382" s="104"/>
      <c r="E382" s="104"/>
      <c r="F382" s="104"/>
      <c r="G382" s="104"/>
      <c r="H382" s="104"/>
      <c r="I382" s="104"/>
      <c r="J382" s="104"/>
      <c r="K382" s="104"/>
      <c r="L382" s="104"/>
    </row>
    <row r="383" spans="2:12">
      <c r="B383" s="104"/>
      <c r="C383" s="104"/>
      <c r="D383" s="104"/>
      <c r="E383" s="104"/>
      <c r="F383" s="104"/>
      <c r="G383" s="104"/>
      <c r="H383" s="104"/>
      <c r="I383" s="104"/>
      <c r="J383" s="104"/>
      <c r="K383" s="104"/>
      <c r="L383" s="104"/>
    </row>
    <row r="384" spans="2:12">
      <c r="B384" s="104"/>
      <c r="C384" s="104"/>
      <c r="D384" s="104"/>
      <c r="E384" s="104"/>
      <c r="F384" s="104"/>
      <c r="G384" s="104"/>
      <c r="H384" s="104"/>
      <c r="I384" s="104"/>
      <c r="J384" s="104"/>
      <c r="K384" s="104"/>
      <c r="L384" s="104"/>
    </row>
    <row r="385" spans="2:12">
      <c r="B385" s="104"/>
      <c r="C385" s="104"/>
      <c r="D385" s="104"/>
      <c r="E385" s="104"/>
      <c r="F385" s="104"/>
      <c r="G385" s="104"/>
      <c r="H385" s="104"/>
      <c r="I385" s="104"/>
      <c r="J385" s="104"/>
      <c r="K385" s="104"/>
      <c r="L385" s="104"/>
    </row>
    <row r="386" spans="2:12">
      <c r="B386" s="104"/>
      <c r="C386" s="104"/>
      <c r="D386" s="104"/>
      <c r="E386" s="104"/>
      <c r="F386" s="104"/>
      <c r="G386" s="104"/>
      <c r="H386" s="104"/>
      <c r="I386" s="104"/>
      <c r="J386" s="104"/>
      <c r="K386" s="104"/>
      <c r="L386" s="104"/>
    </row>
    <row r="387" spans="2:12">
      <c r="B387" s="104"/>
      <c r="C387" s="104"/>
      <c r="D387" s="104"/>
      <c r="E387" s="104"/>
      <c r="F387" s="104"/>
      <c r="G387" s="104"/>
      <c r="H387" s="104"/>
      <c r="I387" s="104"/>
      <c r="J387" s="104"/>
      <c r="K387" s="104"/>
      <c r="L387" s="104"/>
    </row>
    <row r="388" spans="2:12">
      <c r="B388" s="104"/>
      <c r="C388" s="104"/>
      <c r="D388" s="104"/>
      <c r="E388" s="104"/>
      <c r="F388" s="104"/>
      <c r="G388" s="104"/>
      <c r="H388" s="104"/>
      <c r="I388" s="104"/>
      <c r="J388" s="104"/>
      <c r="K388" s="104"/>
      <c r="L388" s="104"/>
    </row>
    <row r="389" spans="2:12">
      <c r="B389" s="104"/>
      <c r="C389" s="104"/>
      <c r="D389" s="104"/>
      <c r="E389" s="104"/>
      <c r="F389" s="104"/>
      <c r="G389" s="104"/>
      <c r="H389" s="104"/>
      <c r="I389" s="104"/>
      <c r="J389" s="104"/>
      <c r="K389" s="104"/>
      <c r="L389" s="104"/>
    </row>
    <row r="390" spans="2:12">
      <c r="B390" s="104"/>
      <c r="C390" s="104"/>
      <c r="D390" s="104"/>
      <c r="E390" s="104"/>
      <c r="F390" s="104"/>
      <c r="G390" s="104"/>
      <c r="H390" s="104"/>
      <c r="I390" s="104"/>
      <c r="J390" s="104"/>
      <c r="K390" s="104"/>
      <c r="L390" s="104"/>
    </row>
    <row r="391" spans="2:12">
      <c r="B391" s="104"/>
      <c r="C391" s="104"/>
      <c r="D391" s="104"/>
      <c r="E391" s="104"/>
      <c r="F391" s="104"/>
      <c r="G391" s="104"/>
      <c r="H391" s="104"/>
      <c r="I391" s="104"/>
      <c r="J391" s="104"/>
      <c r="K391" s="104"/>
      <c r="L391" s="104"/>
    </row>
    <row r="392" spans="2:12">
      <c r="B392" s="104"/>
      <c r="C392" s="104"/>
      <c r="D392" s="104"/>
      <c r="E392" s="104"/>
      <c r="F392" s="104"/>
      <c r="G392" s="104"/>
      <c r="H392" s="104"/>
      <c r="I392" s="104"/>
      <c r="J392" s="104"/>
      <c r="K392" s="104"/>
      <c r="L392" s="104"/>
    </row>
    <row r="393" spans="2:12"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</row>
    <row r="394" spans="2:12">
      <c r="B394" s="104"/>
      <c r="C394" s="104"/>
      <c r="D394" s="104"/>
      <c r="E394" s="104"/>
      <c r="F394" s="104"/>
      <c r="G394" s="104"/>
      <c r="H394" s="104"/>
      <c r="I394" s="104"/>
      <c r="J394" s="104"/>
      <c r="K394" s="104"/>
      <c r="L394" s="104"/>
    </row>
    <row r="395" spans="2:12">
      <c r="B395" s="104"/>
      <c r="C395" s="104"/>
      <c r="D395" s="104"/>
      <c r="E395" s="104"/>
      <c r="F395" s="104"/>
      <c r="G395" s="104"/>
      <c r="H395" s="104"/>
      <c r="I395" s="104"/>
      <c r="J395" s="104"/>
      <c r="K395" s="104"/>
      <c r="L395" s="104"/>
    </row>
    <row r="396" spans="2:12">
      <c r="B396" s="104"/>
      <c r="C396" s="104"/>
      <c r="D396" s="104"/>
      <c r="E396" s="104"/>
      <c r="F396" s="104"/>
      <c r="G396" s="104"/>
      <c r="H396" s="104"/>
      <c r="I396" s="104"/>
      <c r="J396" s="104"/>
      <c r="K396" s="104"/>
      <c r="L396" s="104"/>
    </row>
    <row r="397" spans="2:12">
      <c r="B397" s="104"/>
      <c r="C397" s="104"/>
      <c r="D397" s="104"/>
      <c r="E397" s="104"/>
      <c r="F397" s="104"/>
      <c r="G397" s="104"/>
      <c r="H397" s="104"/>
      <c r="I397" s="104"/>
      <c r="J397" s="104"/>
      <c r="K397" s="104"/>
      <c r="L397" s="104"/>
    </row>
    <row r="398" spans="2:12">
      <c r="B398" s="104"/>
      <c r="C398" s="104"/>
      <c r="D398" s="104"/>
      <c r="E398" s="104"/>
      <c r="F398" s="104"/>
      <c r="G398" s="104"/>
      <c r="H398" s="104"/>
      <c r="I398" s="104"/>
      <c r="J398" s="104"/>
      <c r="K398" s="104"/>
      <c r="L398" s="104"/>
    </row>
    <row r="399" spans="2:12">
      <c r="B399" s="104"/>
      <c r="C399" s="104"/>
      <c r="D399" s="104"/>
      <c r="E399" s="104"/>
      <c r="F399" s="104"/>
      <c r="G399" s="104"/>
      <c r="H399" s="104"/>
      <c r="I399" s="104"/>
      <c r="J399" s="104"/>
      <c r="K399" s="104"/>
      <c r="L399" s="104"/>
    </row>
    <row r="400" spans="2:12">
      <c r="B400" s="104"/>
      <c r="C400" s="104"/>
      <c r="D400" s="104"/>
      <c r="E400" s="104"/>
      <c r="F400" s="104"/>
      <c r="G400" s="104"/>
      <c r="H400" s="104"/>
      <c r="I400" s="104"/>
      <c r="J400" s="104"/>
      <c r="K400" s="104"/>
      <c r="L400" s="104"/>
    </row>
    <row r="401" spans="2:12">
      <c r="B401" s="104"/>
      <c r="C401" s="104"/>
      <c r="D401" s="104"/>
      <c r="E401" s="104"/>
      <c r="F401" s="104"/>
      <c r="G401" s="104"/>
      <c r="H401" s="104"/>
      <c r="I401" s="104"/>
      <c r="J401" s="104"/>
      <c r="K401" s="104"/>
      <c r="L401" s="104"/>
    </row>
    <row r="402" spans="2:12">
      <c r="B402" s="104"/>
      <c r="C402" s="104"/>
      <c r="D402" s="104"/>
      <c r="E402" s="104"/>
      <c r="F402" s="104"/>
      <c r="G402" s="104"/>
      <c r="H402" s="104"/>
      <c r="I402" s="104"/>
      <c r="J402" s="104"/>
      <c r="K402" s="104"/>
      <c r="L402" s="104"/>
    </row>
    <row r="403" spans="2:12">
      <c r="B403" s="104"/>
      <c r="C403" s="104"/>
      <c r="D403" s="104"/>
      <c r="E403" s="104"/>
      <c r="F403" s="104"/>
      <c r="G403" s="104"/>
      <c r="H403" s="104"/>
      <c r="I403" s="104"/>
      <c r="J403" s="104"/>
      <c r="K403" s="104"/>
      <c r="L403" s="104"/>
    </row>
    <row r="404" spans="2:12">
      <c r="B404" s="104"/>
      <c r="C404" s="104"/>
      <c r="D404" s="104"/>
      <c r="E404" s="104"/>
      <c r="F404" s="104"/>
      <c r="G404" s="104"/>
      <c r="H404" s="104"/>
      <c r="I404" s="104"/>
      <c r="J404" s="104"/>
      <c r="K404" s="104"/>
      <c r="L404" s="104"/>
    </row>
    <row r="405" spans="2:12">
      <c r="B405" s="104"/>
      <c r="C405" s="104"/>
      <c r="D405" s="104"/>
      <c r="E405" s="104"/>
      <c r="F405" s="104"/>
      <c r="G405" s="104"/>
      <c r="H405" s="104"/>
      <c r="I405" s="104"/>
      <c r="J405" s="104"/>
      <c r="K405" s="104"/>
      <c r="L405" s="104"/>
    </row>
    <row r="406" spans="2:12">
      <c r="B406" s="104"/>
      <c r="C406" s="104"/>
      <c r="D406" s="104"/>
      <c r="E406" s="104"/>
      <c r="F406" s="104"/>
      <c r="G406" s="104"/>
      <c r="H406" s="104"/>
      <c r="I406" s="104"/>
      <c r="J406" s="104"/>
      <c r="K406" s="104"/>
      <c r="L406" s="104"/>
    </row>
    <row r="407" spans="2:12">
      <c r="B407" s="104"/>
      <c r="C407" s="104"/>
      <c r="D407" s="104"/>
      <c r="E407" s="104"/>
      <c r="F407" s="104"/>
      <c r="G407" s="104"/>
      <c r="H407" s="104"/>
      <c r="I407" s="104"/>
      <c r="J407" s="104"/>
      <c r="K407" s="104"/>
      <c r="L407" s="104"/>
    </row>
    <row r="408" spans="2:12">
      <c r="B408" s="104"/>
      <c r="C408" s="104"/>
      <c r="D408" s="104"/>
      <c r="E408" s="104"/>
      <c r="F408" s="104"/>
      <c r="G408" s="104"/>
      <c r="H408" s="104"/>
      <c r="I408" s="104"/>
      <c r="J408" s="104"/>
      <c r="K408" s="104"/>
      <c r="L408" s="104"/>
    </row>
    <row r="409" spans="2:12">
      <c r="B409" s="104"/>
      <c r="C409" s="104"/>
      <c r="D409" s="104"/>
      <c r="E409" s="104"/>
      <c r="F409" s="104"/>
      <c r="G409" s="104"/>
      <c r="H409" s="104"/>
      <c r="I409" s="104"/>
      <c r="J409" s="104"/>
      <c r="K409" s="104"/>
      <c r="L409" s="104"/>
    </row>
    <row r="410" spans="2:12">
      <c r="B410" s="104"/>
      <c r="C410" s="104"/>
      <c r="D410" s="104"/>
      <c r="E410" s="104"/>
      <c r="F410" s="104"/>
      <c r="G410" s="104"/>
      <c r="H410" s="104"/>
      <c r="I410" s="104"/>
      <c r="J410" s="104"/>
      <c r="K410" s="104"/>
      <c r="L410" s="104"/>
    </row>
    <row r="411" spans="2:12">
      <c r="B411" s="104"/>
      <c r="C411" s="104"/>
      <c r="D411" s="104"/>
      <c r="E411" s="104"/>
      <c r="F411" s="104"/>
      <c r="G411" s="104"/>
      <c r="H411" s="104"/>
      <c r="I411" s="104"/>
      <c r="J411" s="104"/>
      <c r="K411" s="104"/>
      <c r="L411" s="104"/>
    </row>
    <row r="412" spans="2:12">
      <c r="B412" s="104"/>
      <c r="C412" s="104"/>
      <c r="D412" s="104"/>
      <c r="E412" s="104"/>
      <c r="F412" s="104"/>
      <c r="G412" s="104"/>
      <c r="H412" s="104"/>
      <c r="I412" s="104"/>
      <c r="J412" s="104"/>
      <c r="K412" s="104"/>
      <c r="L412" s="104"/>
    </row>
  </sheetData>
  <mergeCells count="6">
    <mergeCell ref="D1:H3"/>
    <mergeCell ref="A4:C4"/>
    <mergeCell ref="D4:H4"/>
    <mergeCell ref="A5:C5"/>
    <mergeCell ref="D5:G5"/>
    <mergeCell ref="H5:H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1" orientation="portrait" r:id="rId1"/>
  <headerFooter>
    <oddFooter>&amp;L&amp;"Calibri,Regular"&amp;12&amp;K184782&amp;F&amp;C&amp;"Calibri,Regular"&amp;12&amp;K184782&amp;A&amp;R&amp;"Calibri,Regular"&amp;12&amp;K184782&amp;P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pageSetUpPr fitToPage="1"/>
  </sheetPr>
  <dimension ref="A1:I513"/>
  <sheetViews>
    <sheetView showGridLines="0" workbookViewId="0">
      <pane ySplit="2415" topLeftCell="A199" activePane="bottomLeft"/>
      <selection activeCell="H177" sqref="H177"/>
      <selection pane="bottomLeft" activeCell="I212" sqref="I212"/>
    </sheetView>
  </sheetViews>
  <sheetFormatPr defaultRowHeight="12.75"/>
  <cols>
    <col min="1" max="1" width="14.85546875" style="67" customWidth="1"/>
    <col min="2" max="2" width="10.140625" style="67" bestFit="1" customWidth="1"/>
    <col min="3" max="3" width="10.140625" style="67" customWidth="1"/>
    <col min="4" max="6" width="9.140625" style="67"/>
    <col min="7" max="7" width="12.85546875" style="67" bestFit="1" customWidth="1"/>
    <col min="8" max="8" width="15.7109375" style="67" customWidth="1"/>
    <col min="9" max="16384" width="9.140625" style="62"/>
  </cols>
  <sheetData>
    <row r="1" spans="1:8" s="67" customFormat="1" ht="16.5" customHeight="1">
      <c r="B1" s="101"/>
      <c r="C1" s="101"/>
      <c r="D1" s="294" t="s">
        <v>251</v>
      </c>
      <c r="E1" s="294"/>
      <c r="F1" s="294"/>
      <c r="G1" s="294"/>
      <c r="H1" s="294"/>
    </row>
    <row r="2" spans="1:8" s="67" customFormat="1" ht="17.25" customHeight="1">
      <c r="A2" s="101"/>
      <c r="B2" s="101"/>
      <c r="C2" s="101"/>
      <c r="D2" s="294"/>
      <c r="E2" s="294"/>
      <c r="F2" s="294"/>
      <c r="G2" s="294"/>
      <c r="H2" s="294"/>
    </row>
    <row r="3" spans="1:8" s="67" customFormat="1" ht="21" customHeight="1" thickBot="1">
      <c r="A3" s="101"/>
      <c r="B3" s="101"/>
      <c r="C3" s="101"/>
      <c r="D3" s="294"/>
      <c r="E3" s="294"/>
      <c r="F3" s="294"/>
      <c r="G3" s="294"/>
      <c r="H3" s="294"/>
    </row>
    <row r="4" spans="1:8" ht="19.5" thickBot="1">
      <c r="A4" s="301" t="s">
        <v>66</v>
      </c>
      <c r="B4" s="302"/>
      <c r="C4" s="302"/>
      <c r="D4" s="303" t="s">
        <v>61</v>
      </c>
      <c r="E4" s="303"/>
      <c r="F4" s="303"/>
      <c r="G4" s="303"/>
      <c r="H4" s="304"/>
    </row>
    <row r="5" spans="1:8" ht="18" customHeight="1" thickBot="1">
      <c r="A5" s="296" t="s">
        <v>56</v>
      </c>
      <c r="B5" s="297"/>
      <c r="C5" s="297"/>
      <c r="D5" s="298" t="s">
        <v>57</v>
      </c>
      <c r="E5" s="299"/>
      <c r="F5" s="299"/>
      <c r="G5" s="300"/>
      <c r="H5" s="295" t="s">
        <v>58</v>
      </c>
    </row>
    <row r="6" spans="1:8" ht="15.75" customHeight="1" thickBot="1">
      <c r="A6" s="126" t="s">
        <v>109</v>
      </c>
      <c r="B6" s="127" t="s">
        <v>0</v>
      </c>
      <c r="C6" s="127" t="s">
        <v>4</v>
      </c>
      <c r="D6" s="127" t="s">
        <v>1</v>
      </c>
      <c r="E6" s="127" t="s">
        <v>2</v>
      </c>
      <c r="F6" s="127" t="s">
        <v>3</v>
      </c>
      <c r="G6" s="127" t="s">
        <v>59</v>
      </c>
      <c r="H6" s="295"/>
    </row>
    <row r="7" spans="1:8" s="102" customFormat="1" ht="16.5" customHeight="1" thickBot="1">
      <c r="A7" s="140" t="s">
        <v>67</v>
      </c>
      <c r="B7" s="141"/>
      <c r="C7" s="141"/>
      <c r="D7" s="141"/>
      <c r="E7" s="141"/>
      <c r="F7" s="141"/>
      <c r="G7" s="141"/>
      <c r="H7" s="142"/>
    </row>
    <row r="8" spans="1:8" ht="15" hidden="1">
      <c r="A8" s="217" t="s">
        <v>113</v>
      </c>
      <c r="B8" s="218">
        <f>+[2]geral!I96</f>
        <v>9.27</v>
      </c>
      <c r="C8" s="219">
        <v>100</v>
      </c>
      <c r="D8" s="219"/>
      <c r="E8" s="219"/>
      <c r="F8" s="219"/>
      <c r="G8" s="220"/>
      <c r="H8" s="221">
        <f>$B$211/B8</f>
        <v>2.6953305594082297</v>
      </c>
    </row>
    <row r="9" spans="1:8" ht="15" hidden="1">
      <c r="A9" s="222" t="s">
        <v>114</v>
      </c>
      <c r="B9" s="177">
        <f>+[2]geral!I97</f>
        <v>9.2200000000000006</v>
      </c>
      <c r="C9" s="165">
        <f>100*B9/$B$8</f>
        <v>99.460625674217923</v>
      </c>
      <c r="D9" s="166">
        <f t="shared" ref="D9:D26" si="0">100*((B9/B8)-1)</f>
        <v>-0.53937432578208266</v>
      </c>
      <c r="E9" s="166"/>
      <c r="F9" s="166"/>
      <c r="G9" s="166"/>
      <c r="H9" s="174">
        <f>$B$211/B9</f>
        <v>2.7099473194917882</v>
      </c>
    </row>
    <row r="10" spans="1:8" ht="15" hidden="1">
      <c r="A10" s="222" t="s">
        <v>115</v>
      </c>
      <c r="B10" s="177">
        <f>+[2]geral!I98</f>
        <v>8.42</v>
      </c>
      <c r="C10" s="165">
        <f t="shared" ref="C10:C73" si="1">100*B10/$B$8</f>
        <v>90.83063646170443</v>
      </c>
      <c r="D10" s="166">
        <f t="shared" si="0"/>
        <v>-8.6767895878525074</v>
      </c>
      <c r="E10" s="166"/>
      <c r="F10" s="166"/>
      <c r="G10" s="166"/>
      <c r="H10" s="174">
        <f>$B$211/B10</f>
        <v>2.9674244994910079</v>
      </c>
    </row>
    <row r="11" spans="1:8" ht="15" hidden="1">
      <c r="A11" s="222" t="s">
        <v>116</v>
      </c>
      <c r="B11" s="177">
        <f>+[2]geral!K87</f>
        <v>9.08</v>
      </c>
      <c r="C11" s="165">
        <f t="shared" si="1"/>
        <v>97.950377562028052</v>
      </c>
      <c r="D11" s="166">
        <f t="shared" si="0"/>
        <v>7.8384798099762509</v>
      </c>
      <c r="E11" s="166">
        <f t="shared" ref="E11:E22" si="2">100*((B11/$B$10)-1)</f>
        <v>7.8384798099762509</v>
      </c>
      <c r="F11" s="166"/>
      <c r="G11" s="166"/>
      <c r="H11" s="174">
        <f>$B$211/B11</f>
        <v>2.7517306482064194</v>
      </c>
    </row>
    <row r="12" spans="1:8" ht="15" hidden="1">
      <c r="A12" s="222" t="s">
        <v>117</v>
      </c>
      <c r="B12" s="177">
        <f>+[2]geral!K88</f>
        <v>8.85</v>
      </c>
      <c r="C12" s="165">
        <f t="shared" si="1"/>
        <v>95.469255663430431</v>
      </c>
      <c r="D12" s="166">
        <f t="shared" si="0"/>
        <v>-2.5330396475770955</v>
      </c>
      <c r="E12" s="166">
        <f t="shared" si="2"/>
        <v>5.1068883610451365</v>
      </c>
      <c r="F12" s="166"/>
      <c r="G12" s="166"/>
      <c r="H12" s="174">
        <f>$B$211/B12</f>
        <v>2.8232445520581115</v>
      </c>
    </row>
    <row r="13" spans="1:8" ht="15" hidden="1">
      <c r="A13" s="222" t="s">
        <v>118</v>
      </c>
      <c r="B13" s="177">
        <f>+[2]geral!K89</f>
        <v>8.85</v>
      </c>
      <c r="C13" s="165">
        <f t="shared" si="1"/>
        <v>95.469255663430431</v>
      </c>
      <c r="D13" s="166">
        <f t="shared" si="0"/>
        <v>0</v>
      </c>
      <c r="E13" s="166">
        <f t="shared" si="2"/>
        <v>5.1068883610451365</v>
      </c>
      <c r="F13" s="166"/>
      <c r="G13" s="166"/>
      <c r="H13" s="174">
        <f>$B$211/B13</f>
        <v>2.8232445520581115</v>
      </c>
    </row>
    <row r="14" spans="1:8" ht="15" hidden="1">
      <c r="A14" s="222" t="s">
        <v>119</v>
      </c>
      <c r="B14" s="177">
        <f>+[2]geral!K90</f>
        <v>8.83</v>
      </c>
      <c r="C14" s="165">
        <f t="shared" si="1"/>
        <v>95.253505933117594</v>
      </c>
      <c r="D14" s="166">
        <f t="shared" si="0"/>
        <v>-0.22598870056497189</v>
      </c>
      <c r="E14" s="166">
        <f t="shared" si="2"/>
        <v>4.8693586698337343</v>
      </c>
      <c r="F14" s="166"/>
      <c r="G14" s="166"/>
      <c r="H14" s="174">
        <f>$B$211/B14</f>
        <v>2.8296392169551856</v>
      </c>
    </row>
    <row r="15" spans="1:8" ht="13.5" hidden="1" customHeight="1">
      <c r="A15" s="222" t="s">
        <v>120</v>
      </c>
      <c r="B15" s="177">
        <f>+[2]geral!K91</f>
        <v>8.76</v>
      </c>
      <c r="C15" s="165">
        <f t="shared" si="1"/>
        <v>94.498381877022652</v>
      </c>
      <c r="D15" s="166">
        <f t="shared" si="0"/>
        <v>-0.79275198187995777</v>
      </c>
      <c r="E15" s="166">
        <f t="shared" si="2"/>
        <v>4.0380047505938155</v>
      </c>
      <c r="F15" s="166"/>
      <c r="G15" s="166"/>
      <c r="H15" s="174">
        <f>$B$211/B15</f>
        <v>2.8522504892367908</v>
      </c>
    </row>
    <row r="16" spans="1:8" ht="15" hidden="1">
      <c r="A16" s="222" t="s">
        <v>121</v>
      </c>
      <c r="B16" s="177">
        <f>+[2]geral!K92</f>
        <v>8.69</v>
      </c>
      <c r="C16" s="165">
        <f t="shared" si="1"/>
        <v>93.743257820927724</v>
      </c>
      <c r="D16" s="166">
        <f t="shared" si="0"/>
        <v>-0.79908675799087447</v>
      </c>
      <c r="E16" s="166">
        <f t="shared" si="2"/>
        <v>3.2066508313539188</v>
      </c>
      <c r="F16" s="166"/>
      <c r="G16" s="166"/>
      <c r="H16" s="174">
        <f>$B$211/B16</f>
        <v>2.8752260397830023</v>
      </c>
    </row>
    <row r="17" spans="1:8" ht="15" hidden="1">
      <c r="A17" s="222" t="s">
        <v>122</v>
      </c>
      <c r="B17" s="177">
        <f>+[2]geral!K93</f>
        <v>8.5299999999999994</v>
      </c>
      <c r="C17" s="165">
        <f t="shared" si="1"/>
        <v>92.017259978425017</v>
      </c>
      <c r="D17" s="166">
        <f t="shared" si="0"/>
        <v>-1.8411967779056404</v>
      </c>
      <c r="E17" s="166">
        <f t="shared" si="2"/>
        <v>1.3064133016627011</v>
      </c>
      <c r="F17" s="166"/>
      <c r="G17" s="166"/>
      <c r="H17" s="174">
        <f>$B$211/B17</f>
        <v>2.9291575950427067</v>
      </c>
    </row>
    <row r="18" spans="1:8" ht="15" hidden="1">
      <c r="A18" s="222" t="s">
        <v>123</v>
      </c>
      <c r="B18" s="177">
        <f>+[2]geral!K94</f>
        <v>8.6199999999999992</v>
      </c>
      <c r="C18" s="165">
        <f t="shared" si="1"/>
        <v>92.988133764832781</v>
      </c>
      <c r="D18" s="166">
        <f t="shared" si="0"/>
        <v>1.0550996483001063</v>
      </c>
      <c r="E18" s="166">
        <f t="shared" si="2"/>
        <v>2.375296912114</v>
      </c>
      <c r="F18" s="166"/>
      <c r="G18" s="166"/>
      <c r="H18" s="174">
        <f>$B$211/B18</f>
        <v>2.8985747431223072</v>
      </c>
    </row>
    <row r="19" spans="1:8" ht="15" hidden="1">
      <c r="A19" s="222" t="s">
        <v>124</v>
      </c>
      <c r="B19" s="177">
        <f>+[2]geral!K95</f>
        <v>8.43</v>
      </c>
      <c r="C19" s="165">
        <f t="shared" si="1"/>
        <v>90.938511326860848</v>
      </c>
      <c r="D19" s="166">
        <f t="shared" si="0"/>
        <v>-2.2041763341067222</v>
      </c>
      <c r="E19" s="166">
        <f t="shared" si="2"/>
        <v>0.11876484560569001</v>
      </c>
      <c r="F19" s="166"/>
      <c r="G19" s="166"/>
      <c r="H19" s="174">
        <f>$B$211/B19</f>
        <v>2.9639044229791565</v>
      </c>
    </row>
    <row r="20" spans="1:8" ht="15" hidden="1">
      <c r="A20" s="222" t="s">
        <v>125</v>
      </c>
      <c r="B20" s="177">
        <f>+[2]geral!K96</f>
        <v>8.52</v>
      </c>
      <c r="C20" s="165">
        <f t="shared" si="1"/>
        <v>91.909385113268613</v>
      </c>
      <c r="D20" s="166">
        <f t="shared" si="0"/>
        <v>1.067615658362997</v>
      </c>
      <c r="E20" s="166">
        <f t="shared" si="2"/>
        <v>1.1876484560570111</v>
      </c>
      <c r="F20" s="166">
        <f t="shared" ref="F20:F66" si="3">100*((B20/B8)-1)</f>
        <v>-8.0906148867313945</v>
      </c>
      <c r="G20" s="166"/>
      <c r="H20" s="174">
        <f>$B$211/B20</f>
        <v>2.9325955734406444</v>
      </c>
    </row>
    <row r="21" spans="1:8" ht="15" hidden="1">
      <c r="A21" s="222" t="s">
        <v>126</v>
      </c>
      <c r="B21" s="177">
        <f>+[2]geral!K97</f>
        <v>8.51</v>
      </c>
      <c r="C21" s="165">
        <f t="shared" si="1"/>
        <v>91.801510248112194</v>
      </c>
      <c r="D21" s="166">
        <f t="shared" si="0"/>
        <v>-0.11737089201877549</v>
      </c>
      <c r="E21" s="166">
        <f t="shared" si="2"/>
        <v>1.0688836104512989</v>
      </c>
      <c r="F21" s="166">
        <f t="shared" si="3"/>
        <v>-7.700650759219096</v>
      </c>
      <c r="G21" s="166"/>
      <c r="H21" s="174">
        <f>$B$211/B21</f>
        <v>2.9360416316938061</v>
      </c>
    </row>
    <row r="22" spans="1:8" ht="15" hidden="1">
      <c r="A22" s="222" t="s">
        <v>127</v>
      </c>
      <c r="B22" s="177">
        <f>+[2]geral!K98</f>
        <v>8.52</v>
      </c>
      <c r="C22" s="165">
        <f t="shared" si="1"/>
        <v>91.909385113268613</v>
      </c>
      <c r="D22" s="166">
        <f t="shared" si="0"/>
        <v>0.1175088131609936</v>
      </c>
      <c r="E22" s="166">
        <f t="shared" si="2"/>
        <v>1.1876484560570111</v>
      </c>
      <c r="F22" s="166">
        <f t="shared" si="3"/>
        <v>1.1876484560570111</v>
      </c>
      <c r="G22" s="166"/>
      <c r="H22" s="174">
        <f>$B$211/B22</f>
        <v>2.9325955734406444</v>
      </c>
    </row>
    <row r="23" spans="1:8" ht="15" hidden="1">
      <c r="A23" s="222" t="s">
        <v>128</v>
      </c>
      <c r="B23" s="177">
        <f>+[2]geral!M87</f>
        <v>8.58</v>
      </c>
      <c r="C23" s="165">
        <f t="shared" si="1"/>
        <v>92.556634304207122</v>
      </c>
      <c r="D23" s="166">
        <f t="shared" si="0"/>
        <v>0.70422535211267512</v>
      </c>
      <c r="E23" s="166">
        <f t="shared" ref="E23:E34" si="4">100*((B23/$B$22)-1)</f>
        <v>0.70422535211267512</v>
      </c>
      <c r="F23" s="166">
        <f t="shared" si="3"/>
        <v>-5.5066079295154164</v>
      </c>
      <c r="G23" s="166"/>
      <c r="H23" s="174">
        <f>$B$211/B23</f>
        <v>2.9120879120879124</v>
      </c>
    </row>
    <row r="24" spans="1:8" ht="15" hidden="1">
      <c r="A24" s="222" t="s">
        <v>129</v>
      </c>
      <c r="B24" s="177">
        <f>+[2]geral!M88</f>
        <v>8.6300000000000008</v>
      </c>
      <c r="C24" s="165">
        <f t="shared" si="1"/>
        <v>93.096008629989228</v>
      </c>
      <c r="D24" s="166">
        <f t="shared" si="0"/>
        <v>0.58275058275059077</v>
      </c>
      <c r="E24" s="166">
        <f t="shared" si="4"/>
        <v>1.291079812206597</v>
      </c>
      <c r="F24" s="166">
        <f t="shared" si="3"/>
        <v>-2.4858757062146797</v>
      </c>
      <c r="G24" s="166"/>
      <c r="H24" s="174">
        <f>$B$211/B24</f>
        <v>2.8952160238371132</v>
      </c>
    </row>
    <row r="25" spans="1:8" ht="15" hidden="1">
      <c r="A25" s="222" t="s">
        <v>130</v>
      </c>
      <c r="B25" s="177">
        <f>+[2]geral!M89</f>
        <v>8.75</v>
      </c>
      <c r="C25" s="165">
        <f t="shared" si="1"/>
        <v>94.390507011866234</v>
      </c>
      <c r="D25" s="166">
        <f t="shared" si="0"/>
        <v>1.39049826187716</v>
      </c>
      <c r="E25" s="166">
        <f t="shared" si="4"/>
        <v>2.699530516431925</v>
      </c>
      <c r="F25" s="166">
        <f t="shared" si="3"/>
        <v>-1.1299435028248594</v>
      </c>
      <c r="G25" s="166"/>
      <c r="H25" s="174">
        <f>$B$211/B25</f>
        <v>2.8555102040816327</v>
      </c>
    </row>
    <row r="26" spans="1:8" ht="15" hidden="1">
      <c r="A26" s="222" t="s">
        <v>131</v>
      </c>
      <c r="B26" s="177">
        <f>+[2]geral!M90</f>
        <v>9.0399999999999991</v>
      </c>
      <c r="C26" s="165">
        <f t="shared" si="1"/>
        <v>97.518878101402365</v>
      </c>
      <c r="D26" s="166">
        <f t="shared" si="0"/>
        <v>3.3142857142857141</v>
      </c>
      <c r="E26" s="166">
        <f t="shared" si="4"/>
        <v>6.1032863849765251</v>
      </c>
      <c r="F26" s="166">
        <f t="shared" si="3"/>
        <v>2.3782559456398511</v>
      </c>
      <c r="G26" s="166"/>
      <c r="H26" s="174">
        <f>$B$211/B26</f>
        <v>2.7639064475347666</v>
      </c>
    </row>
    <row r="27" spans="1:8" ht="15" hidden="1">
      <c r="A27" s="222" t="s">
        <v>132</v>
      </c>
      <c r="B27" s="177">
        <f>+[2]geral!M91</f>
        <v>8.99</v>
      </c>
      <c r="C27" s="165">
        <f t="shared" si="1"/>
        <v>96.979503775620287</v>
      </c>
      <c r="D27" s="166">
        <f t="shared" ref="D27:D90" si="5">100*((B27/B26)-1)</f>
        <v>-0.5530973451327359</v>
      </c>
      <c r="E27" s="166">
        <f t="shared" si="4"/>
        <v>5.5164319248826477</v>
      </c>
      <c r="F27" s="166">
        <f t="shared" si="3"/>
        <v>2.6255707762557146</v>
      </c>
      <c r="G27" s="166"/>
      <c r="H27" s="174">
        <f>$B$211/B27</f>
        <v>2.7792785634832353</v>
      </c>
    </row>
    <row r="28" spans="1:8" ht="15" hidden="1">
      <c r="A28" s="222" t="s">
        <v>133</v>
      </c>
      <c r="B28" s="177">
        <f>+[2]geral!M92</f>
        <v>9.15</v>
      </c>
      <c r="C28" s="165">
        <f t="shared" si="1"/>
        <v>98.70550161812298</v>
      </c>
      <c r="D28" s="166">
        <f t="shared" si="5"/>
        <v>1.7797552836485098</v>
      </c>
      <c r="E28" s="166">
        <f t="shared" si="4"/>
        <v>7.3943661971830998</v>
      </c>
      <c r="F28" s="166">
        <f t="shared" si="3"/>
        <v>5.2934407364787273</v>
      </c>
      <c r="G28" s="166"/>
      <c r="H28" s="174">
        <f>$B$211/B28</f>
        <v>2.730679156908665</v>
      </c>
    </row>
    <row r="29" spans="1:8" ht="15" hidden="1">
      <c r="A29" s="222" t="s">
        <v>134</v>
      </c>
      <c r="B29" s="177">
        <f>+[2]geral!M93</f>
        <v>9.31</v>
      </c>
      <c r="C29" s="165">
        <f t="shared" si="1"/>
        <v>100.43149946062567</v>
      </c>
      <c r="D29" s="166">
        <f t="shared" si="5"/>
        <v>1.7486338797814138</v>
      </c>
      <c r="E29" s="166">
        <f t="shared" si="4"/>
        <v>9.2723004694835751</v>
      </c>
      <c r="F29" s="166">
        <f t="shared" si="3"/>
        <v>9.144196951934358</v>
      </c>
      <c r="G29" s="166"/>
      <c r="H29" s="174">
        <f>$B$211/B29</f>
        <v>2.6837501918060456</v>
      </c>
    </row>
    <row r="30" spans="1:8" ht="15" hidden="1">
      <c r="A30" s="222" t="s">
        <v>135</v>
      </c>
      <c r="B30" s="177">
        <f>+[2]geral!M94</f>
        <v>8.59</v>
      </c>
      <c r="C30" s="165">
        <f t="shared" si="1"/>
        <v>92.664509169363541</v>
      </c>
      <c r="D30" s="166">
        <f t="shared" si="5"/>
        <v>-7.7336197636949544</v>
      </c>
      <c r="E30" s="166">
        <f t="shared" si="4"/>
        <v>0.8215962441314506</v>
      </c>
      <c r="F30" s="166">
        <f t="shared" si="3"/>
        <v>-0.34802784222737193</v>
      </c>
      <c r="G30" s="166"/>
      <c r="H30" s="174">
        <f>$B$211/B30</f>
        <v>2.908697821386995</v>
      </c>
    </row>
    <row r="31" spans="1:8" ht="15" hidden="1">
      <c r="A31" s="222" t="s">
        <v>136</v>
      </c>
      <c r="B31" s="177">
        <f>+[2]geral!M95</f>
        <v>9.27</v>
      </c>
      <c r="C31" s="165">
        <f t="shared" si="1"/>
        <v>100</v>
      </c>
      <c r="D31" s="166">
        <f t="shared" si="5"/>
        <v>7.9161816065192125</v>
      </c>
      <c r="E31" s="166">
        <f t="shared" si="4"/>
        <v>8.8028169014084501</v>
      </c>
      <c r="F31" s="166">
        <f t="shared" si="3"/>
        <v>9.9644128113878914</v>
      </c>
      <c r="G31" s="166"/>
      <c r="H31" s="174">
        <f>$B$211/B31</f>
        <v>2.6953305594082297</v>
      </c>
    </row>
    <row r="32" spans="1:8" ht="15" hidden="1">
      <c r="A32" s="222" t="s">
        <v>137</v>
      </c>
      <c r="B32" s="177">
        <f>+[2]geral!M96</f>
        <v>9.26</v>
      </c>
      <c r="C32" s="165">
        <f t="shared" si="1"/>
        <v>99.892125134843582</v>
      </c>
      <c r="D32" s="166">
        <f t="shared" si="5"/>
        <v>-0.10787486515642097</v>
      </c>
      <c r="E32" s="166">
        <f t="shared" si="4"/>
        <v>8.6854460093896755</v>
      </c>
      <c r="F32" s="166">
        <f t="shared" si="3"/>
        <v>8.6854460093896755</v>
      </c>
      <c r="G32" s="166">
        <f t="shared" ref="G32:G49" si="6">100*(B32/B8-1)</f>
        <v>-0.10787486515642097</v>
      </c>
      <c r="H32" s="174">
        <f>$B$211/B32</f>
        <v>2.6982412835544589</v>
      </c>
    </row>
    <row r="33" spans="1:8" ht="15" hidden="1">
      <c r="A33" s="222" t="s">
        <v>138</v>
      </c>
      <c r="B33" s="177">
        <f>+[2]geral!M97</f>
        <v>9.18</v>
      </c>
      <c r="C33" s="165">
        <f t="shared" si="1"/>
        <v>99.029126213592235</v>
      </c>
      <c r="D33" s="166">
        <f t="shared" si="5"/>
        <v>-0.86393088552916275</v>
      </c>
      <c r="E33" s="166">
        <f t="shared" si="4"/>
        <v>7.7464788732394485</v>
      </c>
      <c r="F33" s="166">
        <f t="shared" si="3"/>
        <v>7.8730904817861269</v>
      </c>
      <c r="G33" s="166">
        <f t="shared" si="6"/>
        <v>-0.43383947939263923</v>
      </c>
      <c r="H33" s="174">
        <f>$B$211/B33</f>
        <v>2.7217553688141924</v>
      </c>
    </row>
    <row r="34" spans="1:8" ht="15" hidden="1">
      <c r="A34" s="222" t="s">
        <v>139</v>
      </c>
      <c r="B34" s="177">
        <f>+[2]geral!M98</f>
        <v>9.3375000000000004</v>
      </c>
      <c r="C34" s="165">
        <f t="shared" si="1"/>
        <v>100.72815533980582</v>
      </c>
      <c r="D34" s="166">
        <f t="shared" si="5"/>
        <v>1.71568627450982</v>
      </c>
      <c r="E34" s="166">
        <f t="shared" si="4"/>
        <v>9.5950704225352226</v>
      </c>
      <c r="F34" s="166">
        <f t="shared" si="3"/>
        <v>9.5950704225352226</v>
      </c>
      <c r="G34" s="166">
        <f t="shared" si="6"/>
        <v>10.896674584323041</v>
      </c>
      <c r="H34" s="174">
        <f>$B$211/B34</f>
        <v>2.6758462421113025</v>
      </c>
    </row>
    <row r="35" spans="1:8" ht="15" hidden="1">
      <c r="A35" s="222" t="s">
        <v>140</v>
      </c>
      <c r="B35" s="177">
        <f>[2]geral!C102</f>
        <v>9.1</v>
      </c>
      <c r="C35" s="165">
        <f t="shared" si="1"/>
        <v>98.166127292340889</v>
      </c>
      <c r="D35" s="166">
        <f t="shared" si="5"/>
        <v>-2.5435073627844806</v>
      </c>
      <c r="E35" s="166">
        <f t="shared" ref="E35:E46" si="7">100*((B35/$B$34)-1)</f>
        <v>-2.5435073627844806</v>
      </c>
      <c r="F35" s="166">
        <f t="shared" si="3"/>
        <v>6.0606060606060552</v>
      </c>
      <c r="G35" s="166">
        <f t="shared" si="6"/>
        <v>0.22026431718060735</v>
      </c>
      <c r="H35" s="174">
        <f>$B$211/B35</f>
        <v>2.7456828885400317</v>
      </c>
    </row>
    <row r="36" spans="1:8" ht="15" hidden="1">
      <c r="A36" s="222" t="s">
        <v>141</v>
      </c>
      <c r="B36" s="177">
        <f>[2]geral!C103</f>
        <v>9.0500000000000007</v>
      </c>
      <c r="C36" s="165">
        <f t="shared" si="1"/>
        <v>97.626752966558811</v>
      </c>
      <c r="D36" s="166">
        <f t="shared" si="5"/>
        <v>-0.5494505494505364</v>
      </c>
      <c r="E36" s="166">
        <f t="shared" si="7"/>
        <v>-3.0789825970548801</v>
      </c>
      <c r="F36" s="166">
        <f t="shared" si="3"/>
        <v>4.8667439165700932</v>
      </c>
      <c r="G36" s="166">
        <f t="shared" si="6"/>
        <v>2.2598870056497189</v>
      </c>
      <c r="H36" s="174">
        <f>$B$211/B36</f>
        <v>2.7608524072612468</v>
      </c>
    </row>
    <row r="37" spans="1:8" ht="15" hidden="1">
      <c r="A37" s="222" t="s">
        <v>142</v>
      </c>
      <c r="B37" s="177">
        <f>[2]geral!C104</f>
        <v>9.49</v>
      </c>
      <c r="C37" s="165">
        <f t="shared" si="1"/>
        <v>102.37324703344122</v>
      </c>
      <c r="D37" s="166">
        <f t="shared" si="5"/>
        <v>4.8618784530386705</v>
      </c>
      <c r="E37" s="166">
        <f t="shared" si="7"/>
        <v>1.6331994645247594</v>
      </c>
      <c r="F37" s="166">
        <f t="shared" si="3"/>
        <v>8.457142857142852</v>
      </c>
      <c r="G37" s="166">
        <f t="shared" si="6"/>
        <v>7.2316384180791005</v>
      </c>
      <c r="H37" s="174">
        <f>$B$211/B37</f>
        <v>2.6328466054493451</v>
      </c>
    </row>
    <row r="38" spans="1:8" ht="15" hidden="1">
      <c r="A38" s="222" t="s">
        <v>143</v>
      </c>
      <c r="B38" s="177">
        <f>[2]geral!C105</f>
        <v>9.24</v>
      </c>
      <c r="C38" s="165">
        <f t="shared" si="1"/>
        <v>99.676375404530745</v>
      </c>
      <c r="D38" s="166">
        <f t="shared" si="5"/>
        <v>-2.6343519494204437</v>
      </c>
      <c r="E38" s="166">
        <f t="shared" si="7"/>
        <v>-1.0441767068273156</v>
      </c>
      <c r="F38" s="166">
        <f t="shared" si="3"/>
        <v>2.212389380530988</v>
      </c>
      <c r="G38" s="166">
        <f t="shared" si="6"/>
        <v>4.6432616081540257</v>
      </c>
      <c r="H38" s="174">
        <f>$B$211/B38</f>
        <v>2.7040816326530615</v>
      </c>
    </row>
    <row r="39" spans="1:8" ht="15" hidden="1">
      <c r="A39" s="222" t="s">
        <v>144</v>
      </c>
      <c r="B39" s="177">
        <f>[2]geral!C106</f>
        <v>9.24</v>
      </c>
      <c r="C39" s="165">
        <f t="shared" si="1"/>
        <v>99.676375404530745</v>
      </c>
      <c r="D39" s="166">
        <f t="shared" si="5"/>
        <v>0</v>
      </c>
      <c r="E39" s="166">
        <f t="shared" si="7"/>
        <v>-1.0441767068273156</v>
      </c>
      <c r="F39" s="166">
        <f t="shared" si="3"/>
        <v>2.7808676307007785</v>
      </c>
      <c r="G39" s="166">
        <f t="shared" si="6"/>
        <v>5.4794520547945202</v>
      </c>
      <c r="H39" s="174">
        <f>$B$211/B39</f>
        <v>2.7040816326530615</v>
      </c>
    </row>
    <row r="40" spans="1:8" ht="15" hidden="1">
      <c r="A40" s="222" t="s">
        <v>145</v>
      </c>
      <c r="B40" s="177">
        <f>[2]geral!C107</f>
        <v>9.17</v>
      </c>
      <c r="C40" s="165">
        <f t="shared" si="1"/>
        <v>98.921251348435817</v>
      </c>
      <c r="D40" s="166">
        <f t="shared" si="5"/>
        <v>-0.7575757575757569</v>
      </c>
      <c r="E40" s="166">
        <f t="shared" si="7"/>
        <v>-1.7938420348058925</v>
      </c>
      <c r="F40" s="166">
        <f t="shared" si="3"/>
        <v>0.21857923497268228</v>
      </c>
      <c r="G40" s="166">
        <f t="shared" si="6"/>
        <v>5.5235903337169212</v>
      </c>
      <c r="H40" s="174">
        <f>$B$211/B40</f>
        <v>2.7247234771771307</v>
      </c>
    </row>
    <row r="41" spans="1:8" ht="15" hidden="1">
      <c r="A41" s="222" t="s">
        <v>146</v>
      </c>
      <c r="B41" s="177">
        <f>[2]geral!C108</f>
        <v>9.4700000000000006</v>
      </c>
      <c r="C41" s="165">
        <f t="shared" si="1"/>
        <v>102.15749730312839</v>
      </c>
      <c r="D41" s="166">
        <f t="shared" si="5"/>
        <v>3.2715376226826631</v>
      </c>
      <c r="E41" s="166">
        <f t="shared" si="7"/>
        <v>1.4190093708166041</v>
      </c>
      <c r="F41" s="166">
        <f t="shared" si="3"/>
        <v>1.7185821697099923</v>
      </c>
      <c r="G41" s="166">
        <f t="shared" si="6"/>
        <v>11.019929660023454</v>
      </c>
      <c r="H41" s="174">
        <f>$B$211/B41</f>
        <v>2.6384069995474433</v>
      </c>
    </row>
    <row r="42" spans="1:8" ht="15" hidden="1">
      <c r="A42" s="222" t="s">
        <v>147</v>
      </c>
      <c r="B42" s="177">
        <f>[2]geral!C109</f>
        <v>9</v>
      </c>
      <c r="C42" s="165">
        <f t="shared" si="1"/>
        <v>97.087378640776706</v>
      </c>
      <c r="D42" s="166">
        <f t="shared" si="5"/>
        <v>-4.9630411826821597</v>
      </c>
      <c r="E42" s="166">
        <f t="shared" si="7"/>
        <v>-3.6144578313253017</v>
      </c>
      <c r="F42" s="166">
        <f t="shared" si="3"/>
        <v>4.7729918509895164</v>
      </c>
      <c r="G42" s="166">
        <f t="shared" si="6"/>
        <v>4.4083526682134666</v>
      </c>
      <c r="H42" s="174">
        <f>$B$211/B42</f>
        <v>2.7761904761904765</v>
      </c>
    </row>
    <row r="43" spans="1:8" ht="15" hidden="1">
      <c r="A43" s="222" t="s">
        <v>148</v>
      </c>
      <c r="B43" s="177">
        <f>[2]geral!C110</f>
        <v>9.41</v>
      </c>
      <c r="C43" s="165">
        <f t="shared" si="1"/>
        <v>101.51024811218987</v>
      </c>
      <c r="D43" s="166">
        <f t="shared" si="5"/>
        <v>4.5555555555555571</v>
      </c>
      <c r="E43" s="166">
        <f t="shared" si="7"/>
        <v>0.77643908969209363</v>
      </c>
      <c r="F43" s="166">
        <f t="shared" si="3"/>
        <v>1.5102481121898714</v>
      </c>
      <c r="G43" s="166">
        <f t="shared" si="6"/>
        <v>11.625148279952558</v>
      </c>
      <c r="H43" s="174">
        <f>$B$211/B43</f>
        <v>2.6552299984818584</v>
      </c>
    </row>
    <row r="44" spans="1:8" ht="15" hidden="1">
      <c r="A44" s="222" t="s">
        <v>149</v>
      </c>
      <c r="B44" s="177">
        <f>[2]geral!C111</f>
        <v>10.01</v>
      </c>
      <c r="C44" s="165">
        <f t="shared" si="1"/>
        <v>107.98274002157498</v>
      </c>
      <c r="D44" s="166">
        <f t="shared" si="5"/>
        <v>6.3761955366631096</v>
      </c>
      <c r="E44" s="166">
        <f t="shared" si="7"/>
        <v>7.2021419009370646</v>
      </c>
      <c r="F44" s="166">
        <f t="shared" si="3"/>
        <v>8.0993520518358508</v>
      </c>
      <c r="G44" s="166">
        <f t="shared" si="6"/>
        <v>17.488262910798124</v>
      </c>
      <c r="H44" s="174">
        <f>$B$211/B44</f>
        <v>2.4960753532182105</v>
      </c>
    </row>
    <row r="45" spans="1:8" ht="15" hidden="1">
      <c r="A45" s="222" t="s">
        <v>150</v>
      </c>
      <c r="B45" s="177">
        <f>[2]geral!C112</f>
        <v>10.039999999999999</v>
      </c>
      <c r="C45" s="165">
        <f t="shared" si="1"/>
        <v>108.30636461704422</v>
      </c>
      <c r="D45" s="166">
        <f t="shared" si="5"/>
        <v>0.29970029970030065</v>
      </c>
      <c r="E45" s="166">
        <f t="shared" si="7"/>
        <v>7.5234270414993087</v>
      </c>
      <c r="F45" s="166">
        <f t="shared" si="3"/>
        <v>9.3681917211329022</v>
      </c>
      <c r="G45" s="166">
        <f t="shared" si="6"/>
        <v>17.97884841363102</v>
      </c>
      <c r="H45" s="174">
        <f>$B$211/B45</f>
        <v>2.4886169607285149</v>
      </c>
    </row>
    <row r="46" spans="1:8" ht="15" hidden="1">
      <c r="A46" s="222" t="s">
        <v>151</v>
      </c>
      <c r="B46" s="177">
        <f>[2]geral!C113</f>
        <v>9.98</v>
      </c>
      <c r="C46" s="165">
        <f t="shared" si="1"/>
        <v>107.65911542610573</v>
      </c>
      <c r="D46" s="166">
        <f t="shared" si="5"/>
        <v>-0.59760956175297641</v>
      </c>
      <c r="E46" s="166">
        <f t="shared" si="7"/>
        <v>6.8808567603748427</v>
      </c>
      <c r="F46" s="166">
        <f t="shared" si="3"/>
        <v>6.8808567603748427</v>
      </c>
      <c r="G46" s="166">
        <f t="shared" si="6"/>
        <v>17.136150234741798</v>
      </c>
      <c r="H46" s="174">
        <f>$B$211/B46</f>
        <v>2.5035785857429147</v>
      </c>
    </row>
    <row r="47" spans="1:8" ht="15" hidden="1">
      <c r="A47" s="222" t="s">
        <v>152</v>
      </c>
      <c r="B47" s="177">
        <f>[2]geral!E102</f>
        <v>11.02</v>
      </c>
      <c r="C47" s="165">
        <f t="shared" si="1"/>
        <v>118.87810140237325</v>
      </c>
      <c r="D47" s="166">
        <f t="shared" si="5"/>
        <v>10.420841683366721</v>
      </c>
      <c r="E47" s="166">
        <f t="shared" ref="E47:E58" si="8">100*((B47/$B$46)-1)</f>
        <v>10.420841683366721</v>
      </c>
      <c r="F47" s="166">
        <f t="shared" si="3"/>
        <v>21.098901098901091</v>
      </c>
      <c r="G47" s="166">
        <f t="shared" si="6"/>
        <v>28.438228438228428</v>
      </c>
      <c r="H47" s="174">
        <f>$B$211/B47</f>
        <v>2.2673061965257975</v>
      </c>
    </row>
    <row r="48" spans="1:8" ht="15" hidden="1">
      <c r="A48" s="222" t="s">
        <v>153</v>
      </c>
      <c r="B48" s="177">
        <f>[2]geral!E103</f>
        <v>11.21</v>
      </c>
      <c r="C48" s="165">
        <f t="shared" si="1"/>
        <v>120.92772384034521</v>
      </c>
      <c r="D48" s="166">
        <f t="shared" si="5"/>
        <v>1.7241379310344973</v>
      </c>
      <c r="E48" s="166">
        <f t="shared" si="8"/>
        <v>12.324649298597201</v>
      </c>
      <c r="F48" s="166">
        <f t="shared" si="3"/>
        <v>23.867403314917123</v>
      </c>
      <c r="G48" s="166">
        <f t="shared" si="6"/>
        <v>29.895712630359217</v>
      </c>
      <c r="H48" s="174">
        <f>$B$211/B48</f>
        <v>2.2288772779406143</v>
      </c>
    </row>
    <row r="49" spans="1:9" ht="15" hidden="1">
      <c r="A49" s="222" t="s">
        <v>154</v>
      </c>
      <c r="B49" s="177">
        <f>[2]geral!E104</f>
        <v>11.14</v>
      </c>
      <c r="C49" s="165">
        <f t="shared" si="1"/>
        <v>120.17259978425028</v>
      </c>
      <c r="D49" s="166">
        <f t="shared" si="5"/>
        <v>-0.62444246208742671</v>
      </c>
      <c r="E49" s="166">
        <f t="shared" si="8"/>
        <v>11.623246492985984</v>
      </c>
      <c r="F49" s="166">
        <f t="shared" si="3"/>
        <v>17.386722866174932</v>
      </c>
      <c r="G49" s="166">
        <f t="shared" si="6"/>
        <v>27.314285714285713</v>
      </c>
      <c r="H49" s="174">
        <f>$B$211/B49</f>
        <v>2.2428827904590922</v>
      </c>
    </row>
    <row r="50" spans="1:9" ht="15" hidden="1">
      <c r="A50" s="222" t="s">
        <v>155</v>
      </c>
      <c r="B50" s="177">
        <f>[2]geral!E105</f>
        <v>10.98</v>
      </c>
      <c r="C50" s="165">
        <f t="shared" si="1"/>
        <v>118.44660194174757</v>
      </c>
      <c r="D50" s="166">
        <f t="shared" si="5"/>
        <v>-1.4362657091561926</v>
      </c>
      <c r="E50" s="166">
        <f t="shared" si="8"/>
        <v>10.020040080160332</v>
      </c>
      <c r="F50" s="166">
        <f t="shared" si="3"/>
        <v>18.831168831168842</v>
      </c>
      <c r="G50" s="166">
        <f t="shared" ref="G50:G113" si="9">100*(B50/B26-1)</f>
        <v>21.460176991150458</v>
      </c>
      <c r="H50" s="174">
        <f>$B$211/B50</f>
        <v>2.2755659640905543</v>
      </c>
    </row>
    <row r="51" spans="1:9" ht="15" hidden="1">
      <c r="A51" s="222" t="s">
        <v>156</v>
      </c>
      <c r="B51" s="177">
        <f>[2]geral!E106</f>
        <v>10.73</v>
      </c>
      <c r="C51" s="165">
        <f t="shared" si="1"/>
        <v>115.74973031283712</v>
      </c>
      <c r="D51" s="166">
        <f t="shared" si="5"/>
        <v>-2.2768670309653904</v>
      </c>
      <c r="E51" s="166">
        <f t="shared" si="8"/>
        <v>7.5150300601202424</v>
      </c>
      <c r="F51" s="166">
        <f t="shared" si="3"/>
        <v>16.125541125541119</v>
      </c>
      <c r="G51" s="166">
        <f t="shared" si="9"/>
        <v>19.354838709677423</v>
      </c>
      <c r="H51" s="174">
        <f>$B$211/B51</f>
        <v>2.3285847423778461</v>
      </c>
    </row>
    <row r="52" spans="1:9" ht="15" hidden="1">
      <c r="A52" s="222" t="s">
        <v>157</v>
      </c>
      <c r="B52" s="177">
        <f>[2]geral!E107</f>
        <v>10.7857</v>
      </c>
      <c r="C52" s="165">
        <f t="shared" si="1"/>
        <v>116.35059331175836</v>
      </c>
      <c r="D52" s="166">
        <f t="shared" si="5"/>
        <v>0.51910531220875633</v>
      </c>
      <c r="E52" s="166">
        <f t="shared" si="8"/>
        <v>8.0731462925851751</v>
      </c>
      <c r="F52" s="166">
        <f t="shared" si="3"/>
        <v>17.619411123227913</v>
      </c>
      <c r="G52" s="166">
        <f t="shared" si="9"/>
        <v>17.876502732240439</v>
      </c>
      <c r="H52" s="174">
        <f>$B$211/B52</f>
        <v>2.3165593596812712</v>
      </c>
    </row>
    <row r="53" spans="1:9" ht="15" hidden="1">
      <c r="A53" s="222" t="s">
        <v>158</v>
      </c>
      <c r="B53" s="223">
        <f>[2]geral!E108</f>
        <v>10.703099999999999</v>
      </c>
      <c r="C53" s="224">
        <f t="shared" si="1"/>
        <v>115.45954692556634</v>
      </c>
      <c r="D53" s="166">
        <f t="shared" si="5"/>
        <v>-0.7658288289123627</v>
      </c>
      <c r="E53" s="166">
        <f t="shared" si="8"/>
        <v>7.2454909819639202</v>
      </c>
      <c r="F53" s="166">
        <f t="shared" si="3"/>
        <v>13.021119324181619</v>
      </c>
      <c r="G53" s="166">
        <f t="shared" si="9"/>
        <v>14.963480128893657</v>
      </c>
      <c r="H53" s="174">
        <f>$B$211/B53</f>
        <v>2.3344371523870926</v>
      </c>
      <c r="I53" s="62" t="s">
        <v>19</v>
      </c>
    </row>
    <row r="54" spans="1:9" ht="15" hidden="1">
      <c r="A54" s="222" t="s">
        <v>159</v>
      </c>
      <c r="B54" s="177">
        <f>[2]geral!E109</f>
        <v>10.636875</v>
      </c>
      <c r="C54" s="165">
        <f t="shared" si="1"/>
        <v>114.74514563106797</v>
      </c>
      <c r="D54" s="166">
        <f t="shared" si="5"/>
        <v>-0.61874597079349947</v>
      </c>
      <c r="E54" s="166">
        <f t="shared" si="8"/>
        <v>6.5819138276552946</v>
      </c>
      <c r="F54" s="166">
        <f t="shared" si="3"/>
        <v>18.1875</v>
      </c>
      <c r="G54" s="166">
        <f t="shared" si="9"/>
        <v>23.828579743888234</v>
      </c>
      <c r="H54" s="174">
        <f>$B$211/B54</f>
        <v>2.3489713177708951</v>
      </c>
    </row>
    <row r="55" spans="1:9" ht="15" hidden="1">
      <c r="A55" s="222" t="s">
        <v>160</v>
      </c>
      <c r="B55" s="177">
        <f>[2]geral!E110</f>
        <v>10.649374999999999</v>
      </c>
      <c r="C55" s="165">
        <f t="shared" si="1"/>
        <v>114.87998921251349</v>
      </c>
      <c r="D55" s="166">
        <f t="shared" si="5"/>
        <v>0.11751571772724567</v>
      </c>
      <c r="E55" s="166">
        <f t="shared" si="8"/>
        <v>6.7071643286573002</v>
      </c>
      <c r="F55" s="166">
        <f t="shared" si="3"/>
        <v>13.170828905419762</v>
      </c>
      <c r="G55" s="166">
        <f t="shared" si="9"/>
        <v>14.879989212513479</v>
      </c>
      <c r="H55" s="174">
        <f>$B$211/B55</f>
        <v>2.3462141473761879</v>
      </c>
    </row>
    <row r="56" spans="1:9" ht="14.25" hidden="1" customHeight="1">
      <c r="A56" s="222" t="s">
        <v>161</v>
      </c>
      <c r="B56" s="177">
        <f>[2]geral!E111</f>
        <v>10.599375</v>
      </c>
      <c r="C56" s="165">
        <f t="shared" si="1"/>
        <v>114.3406148867314</v>
      </c>
      <c r="D56" s="166">
        <f t="shared" si="5"/>
        <v>-0.46951112154468566</v>
      </c>
      <c r="E56" s="166">
        <f t="shared" si="8"/>
        <v>6.2061623246493003</v>
      </c>
      <c r="F56" s="166">
        <f t="shared" si="3"/>
        <v>5.8878621378621432</v>
      </c>
      <c r="G56" s="166">
        <f t="shared" si="9"/>
        <v>14.4640928725702</v>
      </c>
      <c r="H56" s="174">
        <f>$B$211/B56</f>
        <v>2.3572818478178466</v>
      </c>
    </row>
    <row r="57" spans="1:9" ht="14.25" hidden="1" customHeight="1">
      <c r="A57" s="222" t="s">
        <v>162</v>
      </c>
      <c r="B57" s="177">
        <f>[2]geral!E112</f>
        <v>10.606249999999999</v>
      </c>
      <c r="C57" s="165">
        <f t="shared" si="1"/>
        <v>114.41477885652644</v>
      </c>
      <c r="D57" s="166">
        <f t="shared" si="5"/>
        <v>6.4862314994984516E-2</v>
      </c>
      <c r="E57" s="166">
        <f t="shared" si="8"/>
        <v>6.2750501002003967</v>
      </c>
      <c r="F57" s="166">
        <f t="shared" si="3"/>
        <v>5.6399402390438169</v>
      </c>
      <c r="G57" s="166">
        <f t="shared" si="9"/>
        <v>15.536492374727672</v>
      </c>
      <c r="H57" s="174">
        <f>$B$211/B57</f>
        <v>2.3557538513342879</v>
      </c>
    </row>
    <row r="58" spans="1:9" ht="14.25" hidden="1" customHeight="1">
      <c r="A58" s="222" t="s">
        <v>163</v>
      </c>
      <c r="B58" s="177">
        <f>[2]geral!E113</f>
        <v>10.499375000000001</v>
      </c>
      <c r="C58" s="165">
        <f t="shared" si="1"/>
        <v>113.2618662351672</v>
      </c>
      <c r="D58" s="166">
        <f t="shared" si="5"/>
        <v>-1.0076605774896774</v>
      </c>
      <c r="E58" s="166">
        <f t="shared" si="8"/>
        <v>5.2041583166332783</v>
      </c>
      <c r="F58" s="166">
        <f t="shared" si="3"/>
        <v>5.2041583166332783</v>
      </c>
      <c r="G58" s="166">
        <f t="shared" si="9"/>
        <v>12.443105756358763</v>
      </c>
      <c r="H58" s="174">
        <f>$B$211/B58</f>
        <v>2.3797334875375236</v>
      </c>
    </row>
    <row r="59" spans="1:9" ht="14.25" hidden="1" customHeight="1">
      <c r="A59" s="222" t="s">
        <v>164</v>
      </c>
      <c r="B59" s="177">
        <f>[2]geral!G102</f>
        <v>10.403124999999999</v>
      </c>
      <c r="C59" s="165">
        <f t="shared" si="1"/>
        <v>112.22357065803668</v>
      </c>
      <c r="D59" s="166">
        <f t="shared" si="5"/>
        <v>-0.91672123340675871</v>
      </c>
      <c r="E59" s="166">
        <f t="shared" ref="E59:E70" si="10">100*((B59/$B$58)-1)</f>
        <v>-0.91672123340675871</v>
      </c>
      <c r="F59" s="166">
        <f t="shared" si="3"/>
        <v>-5.5977767695099878</v>
      </c>
      <c r="G59" s="166">
        <f t="shared" si="9"/>
        <v>14.320054945054949</v>
      </c>
      <c r="H59" s="174">
        <f>$B$211/B59</f>
        <v>2.4017508475303613</v>
      </c>
    </row>
    <row r="60" spans="1:9" ht="14.25" hidden="1" customHeight="1">
      <c r="A60" s="222" t="s">
        <v>165</v>
      </c>
      <c r="B60" s="177">
        <f>[2]geral!G103</f>
        <v>10.5</v>
      </c>
      <c r="C60" s="165">
        <f t="shared" si="1"/>
        <v>113.26860841423948</v>
      </c>
      <c r="D60" s="166">
        <f t="shared" si="5"/>
        <v>0.93121057374587757</v>
      </c>
      <c r="E60" s="166">
        <f t="shared" si="10"/>
        <v>5.9527352818555812E-3</v>
      </c>
      <c r="F60" s="166">
        <f t="shared" si="3"/>
        <v>-6.3336306868867158</v>
      </c>
      <c r="G60" s="166">
        <f t="shared" si="9"/>
        <v>16.022099447513803</v>
      </c>
      <c r="H60" s="174">
        <f>$B$211/B60</f>
        <v>2.379591836734694</v>
      </c>
    </row>
    <row r="61" spans="1:9" ht="14.25" hidden="1" customHeight="1">
      <c r="A61" s="222" t="s">
        <v>166</v>
      </c>
      <c r="B61" s="177">
        <f>[2]geral!G104</f>
        <v>10.55</v>
      </c>
      <c r="C61" s="165">
        <f t="shared" si="1"/>
        <v>113.80798274002159</v>
      </c>
      <c r="D61" s="166">
        <f t="shared" si="5"/>
        <v>0.4761904761904745</v>
      </c>
      <c r="E61" s="166">
        <f t="shared" si="10"/>
        <v>0.48217155783083498</v>
      </c>
      <c r="F61" s="166">
        <f t="shared" si="3"/>
        <v>-5.296229802513464</v>
      </c>
      <c r="G61" s="166">
        <f t="shared" si="9"/>
        <v>11.169652265542673</v>
      </c>
      <c r="H61" s="174">
        <f>$B$211/B61</f>
        <v>2.3683141503046716</v>
      </c>
    </row>
    <row r="62" spans="1:9" ht="14.25" hidden="1" customHeight="1">
      <c r="A62" s="222" t="s">
        <v>167</v>
      </c>
      <c r="B62" s="177">
        <f>[2]geral!G105</f>
        <v>10.646875</v>
      </c>
      <c r="C62" s="165">
        <f t="shared" si="1"/>
        <v>114.85302049622439</v>
      </c>
      <c r="D62" s="166">
        <f t="shared" si="5"/>
        <v>0.91824644549762802</v>
      </c>
      <c r="E62" s="166">
        <f t="shared" si="10"/>
        <v>1.4048455265194271</v>
      </c>
      <c r="F62" s="166">
        <f t="shared" si="3"/>
        <v>-3.0339253187613879</v>
      </c>
      <c r="G62" s="166">
        <f t="shared" si="9"/>
        <v>15.225919913419904</v>
      </c>
      <c r="H62" s="174">
        <f>$B$211/B62</f>
        <v>2.3467650635246762</v>
      </c>
    </row>
    <row r="63" spans="1:9" ht="14.25" hidden="1" customHeight="1">
      <c r="A63" s="222" t="s">
        <v>168</v>
      </c>
      <c r="B63" s="177">
        <f>[2]geral!G106</f>
        <v>10.93125</v>
      </c>
      <c r="C63" s="165">
        <f t="shared" si="1"/>
        <v>117.92071197411003</v>
      </c>
      <c r="D63" s="166">
        <f t="shared" si="5"/>
        <v>2.670971529204591</v>
      </c>
      <c r="E63" s="166">
        <f t="shared" si="10"/>
        <v>4.1133400797666475</v>
      </c>
      <c r="F63" s="166">
        <f t="shared" si="3"/>
        <v>1.8755824790307463</v>
      </c>
      <c r="G63" s="166">
        <f t="shared" si="9"/>
        <v>18.30357142857142</v>
      </c>
      <c r="H63" s="174">
        <f>$B$211/B63</f>
        <v>2.2857142857142856</v>
      </c>
    </row>
    <row r="64" spans="1:9" ht="14.25" hidden="1" customHeight="1">
      <c r="A64" s="222" t="s">
        <v>169</v>
      </c>
      <c r="B64" s="177">
        <f>[2]geral!G107</f>
        <v>11.1</v>
      </c>
      <c r="C64" s="165">
        <f t="shared" si="1"/>
        <v>119.74110032362461</v>
      </c>
      <c r="D64" s="166">
        <f t="shared" si="5"/>
        <v>1.5437392795883298</v>
      </c>
      <c r="E64" s="166">
        <f t="shared" si="10"/>
        <v>5.7205786058693864</v>
      </c>
      <c r="F64" s="166">
        <f t="shared" si="3"/>
        <v>2.9140435947597298</v>
      </c>
      <c r="G64" s="166">
        <f t="shared" si="9"/>
        <v>21.046892039258445</v>
      </c>
      <c r="H64" s="174">
        <f>$B$211/B64</f>
        <v>2.2509652509652511</v>
      </c>
    </row>
    <row r="65" spans="1:8" ht="14.25" hidden="1" customHeight="1">
      <c r="A65" s="222" t="s">
        <v>170</v>
      </c>
      <c r="B65" s="177">
        <f>[2]geral!G108</f>
        <v>11.15</v>
      </c>
      <c r="C65" s="165">
        <f t="shared" si="1"/>
        <v>120.2804746494067</v>
      </c>
      <c r="D65" s="166">
        <f t="shared" si="5"/>
        <v>0.45045045045044585</v>
      </c>
      <c r="E65" s="166">
        <f t="shared" si="10"/>
        <v>6.1967974284183658</v>
      </c>
      <c r="F65" s="166">
        <f t="shared" si="3"/>
        <v>4.1754258112135956</v>
      </c>
      <c r="G65" s="166">
        <f t="shared" si="9"/>
        <v>17.740232312565986</v>
      </c>
      <c r="H65" s="174">
        <f>$B$211/B65</f>
        <v>2.2408712363869316</v>
      </c>
    </row>
    <row r="66" spans="1:8" ht="14.25" hidden="1" customHeight="1">
      <c r="A66" s="222" t="s">
        <v>171</v>
      </c>
      <c r="B66" s="177">
        <f>[2]geral!G109</f>
        <v>11.15</v>
      </c>
      <c r="C66" s="165">
        <f t="shared" si="1"/>
        <v>120.2804746494067</v>
      </c>
      <c r="D66" s="166">
        <f t="shared" si="5"/>
        <v>0</v>
      </c>
      <c r="E66" s="166">
        <f t="shared" si="10"/>
        <v>6.1967974284183658</v>
      </c>
      <c r="F66" s="166">
        <f t="shared" si="3"/>
        <v>4.8240202127034504</v>
      </c>
      <c r="G66" s="166">
        <f t="shared" si="9"/>
        <v>23.888888888888893</v>
      </c>
      <c r="H66" s="174">
        <f>$B$211/B66</f>
        <v>2.2408712363869316</v>
      </c>
    </row>
    <row r="67" spans="1:8" ht="14.25" hidden="1" customHeight="1">
      <c r="A67" s="222" t="s">
        <v>172</v>
      </c>
      <c r="B67" s="177">
        <f>[2]geral!G110</f>
        <v>11.2</v>
      </c>
      <c r="C67" s="165">
        <f t="shared" si="1"/>
        <v>120.81984897518879</v>
      </c>
      <c r="D67" s="166">
        <f t="shared" si="5"/>
        <v>0.4484304932735439</v>
      </c>
      <c r="E67" s="166">
        <f t="shared" si="10"/>
        <v>6.6730162509673008</v>
      </c>
      <c r="F67" s="166">
        <f t="shared" ref="F67:F130" si="11">100*((B67/B55)-1)</f>
        <v>5.1704912260109204</v>
      </c>
      <c r="G67" s="166">
        <f t="shared" si="9"/>
        <v>19.022316684378303</v>
      </c>
      <c r="H67" s="174">
        <f>$B$211/B67</f>
        <v>2.2308673469387759</v>
      </c>
    </row>
    <row r="68" spans="1:8" ht="14.25" hidden="1" customHeight="1">
      <c r="A68" s="222" t="s">
        <v>173</v>
      </c>
      <c r="B68" s="177">
        <f>[2]geral!G111</f>
        <v>11.35</v>
      </c>
      <c r="C68" s="165">
        <f t="shared" si="1"/>
        <v>122.43797195253507</v>
      </c>
      <c r="D68" s="166">
        <f t="shared" si="5"/>
        <v>1.3392857142857206</v>
      </c>
      <c r="E68" s="166">
        <f t="shared" si="10"/>
        <v>8.1016727186141946</v>
      </c>
      <c r="F68" s="166">
        <f t="shared" si="11"/>
        <v>7.0817854826345839</v>
      </c>
      <c r="G68" s="166">
        <f t="shared" si="9"/>
        <v>13.386613386613377</v>
      </c>
      <c r="H68" s="174">
        <f>$B$211/B68</f>
        <v>2.2013845185651357</v>
      </c>
    </row>
    <row r="69" spans="1:8" ht="14.25" hidden="1" customHeight="1">
      <c r="A69" s="222" t="s">
        <v>174</v>
      </c>
      <c r="B69" s="177">
        <f>[2]geral!G112</f>
        <v>11.4</v>
      </c>
      <c r="C69" s="165">
        <f t="shared" si="1"/>
        <v>122.97734627831716</v>
      </c>
      <c r="D69" s="166">
        <f t="shared" si="5"/>
        <v>0.4405286343612369</v>
      </c>
      <c r="E69" s="166">
        <f t="shared" si="10"/>
        <v>8.5778915411631509</v>
      </c>
      <c r="F69" s="166">
        <f t="shared" si="11"/>
        <v>7.4837949322333674</v>
      </c>
      <c r="G69" s="166">
        <f t="shared" si="9"/>
        <v>13.545816733067738</v>
      </c>
      <c r="H69" s="174">
        <f>$B$211/B69</f>
        <v>2.1917293233082709</v>
      </c>
    </row>
    <row r="70" spans="1:8" ht="14.25" hidden="1" customHeight="1">
      <c r="A70" s="222" t="s">
        <v>175</v>
      </c>
      <c r="B70" s="177">
        <f>[2]geral!G113</f>
        <v>11.3</v>
      </c>
      <c r="C70" s="165">
        <f t="shared" si="1"/>
        <v>121.89859762675297</v>
      </c>
      <c r="D70" s="166">
        <f t="shared" si="5"/>
        <v>-0.87719298245613198</v>
      </c>
      <c r="E70" s="166">
        <f t="shared" si="10"/>
        <v>7.6254538960652374</v>
      </c>
      <c r="F70" s="166">
        <f t="shared" si="11"/>
        <v>7.6254538960652374</v>
      </c>
      <c r="G70" s="166">
        <f t="shared" si="9"/>
        <v>13.226452905811637</v>
      </c>
      <c r="H70" s="174">
        <f>$B$211/B70</f>
        <v>2.2111251580278131</v>
      </c>
    </row>
    <row r="71" spans="1:8" ht="14.25" hidden="1" customHeight="1">
      <c r="A71" s="222" t="s">
        <v>176</v>
      </c>
      <c r="B71" s="177">
        <f>[2]geral!I102</f>
        <v>11.25</v>
      </c>
      <c r="C71" s="165">
        <f t="shared" si="1"/>
        <v>121.35922330097088</v>
      </c>
      <c r="D71" s="166">
        <f t="shared" si="5"/>
        <v>-0.44247787610620648</v>
      </c>
      <c r="E71" s="166">
        <f t="shared" ref="E71:E82" si="12">100*((B71/$B$70)-1)</f>
        <v>-0.44247787610620648</v>
      </c>
      <c r="F71" s="166">
        <f t="shared" si="11"/>
        <v>8.1405827575848697</v>
      </c>
      <c r="G71" s="166">
        <f t="shared" si="9"/>
        <v>2.0871143375680523</v>
      </c>
      <c r="H71" s="174">
        <f>$B$211/B71</f>
        <v>2.2209523809523812</v>
      </c>
    </row>
    <row r="72" spans="1:8" ht="14.25" hidden="1" customHeight="1">
      <c r="A72" s="222" t="s">
        <v>177</v>
      </c>
      <c r="B72" s="177">
        <f>[2]geral!I103</f>
        <v>11.2</v>
      </c>
      <c r="C72" s="165">
        <f t="shared" si="1"/>
        <v>120.81984897518879</v>
      </c>
      <c r="D72" s="166">
        <f t="shared" si="5"/>
        <v>-0.44444444444444731</v>
      </c>
      <c r="E72" s="166">
        <f t="shared" si="12"/>
        <v>-0.88495575221240186</v>
      </c>
      <c r="F72" s="166">
        <f t="shared" si="11"/>
        <v>6.6666666666666652</v>
      </c>
      <c r="G72" s="166">
        <f t="shared" si="9"/>
        <v>-8.9206066012503804E-2</v>
      </c>
      <c r="H72" s="174">
        <f>$B$211/B72</f>
        <v>2.2308673469387759</v>
      </c>
    </row>
    <row r="73" spans="1:8" ht="14.25" hidden="1" customHeight="1">
      <c r="A73" s="222" t="s">
        <v>178</v>
      </c>
      <c r="B73" s="177">
        <f>[2]geral!I104</f>
        <v>11.25</v>
      </c>
      <c r="C73" s="165">
        <f t="shared" si="1"/>
        <v>121.35922330097088</v>
      </c>
      <c r="D73" s="166">
        <f t="shared" si="5"/>
        <v>0.44642857142858094</v>
      </c>
      <c r="E73" s="166">
        <f t="shared" si="12"/>
        <v>-0.44247787610620648</v>
      </c>
      <c r="F73" s="166">
        <f t="shared" si="11"/>
        <v>6.6350710900473953</v>
      </c>
      <c r="G73" s="166">
        <f t="shared" si="9"/>
        <v>0.98743267504488585</v>
      </c>
      <c r="H73" s="174">
        <f>$B$211/B73</f>
        <v>2.2209523809523812</v>
      </c>
    </row>
    <row r="74" spans="1:8" ht="14.25" hidden="1" customHeight="1">
      <c r="A74" s="222" t="s">
        <v>179</v>
      </c>
      <c r="B74" s="177">
        <f>[2]geral!I105</f>
        <v>11.3</v>
      </c>
      <c r="C74" s="165">
        <f t="shared" ref="C74:C136" si="13">100*B74/$B$8</f>
        <v>121.89859762675297</v>
      </c>
      <c r="D74" s="166">
        <f t="shared" si="5"/>
        <v>0.44444444444444731</v>
      </c>
      <c r="E74" s="166">
        <f t="shared" si="12"/>
        <v>0</v>
      </c>
      <c r="F74" s="166">
        <f t="shared" si="11"/>
        <v>6.1344291165248199</v>
      </c>
      <c r="G74" s="166">
        <f t="shared" si="9"/>
        <v>2.9143897996356971</v>
      </c>
      <c r="H74" s="174">
        <f>$B$211/B74</f>
        <v>2.2111251580278131</v>
      </c>
    </row>
    <row r="75" spans="1:8" ht="14.25" hidden="1" customHeight="1">
      <c r="A75" s="222" t="s">
        <v>180</v>
      </c>
      <c r="B75" s="177">
        <f>[2]geral!I106</f>
        <v>11.290625</v>
      </c>
      <c r="C75" s="165">
        <f t="shared" si="13"/>
        <v>121.79746494066883</v>
      </c>
      <c r="D75" s="166">
        <f t="shared" si="5"/>
        <v>-8.2964601769919266E-2</v>
      </c>
      <c r="E75" s="166">
        <f t="shared" si="12"/>
        <v>-8.2964601769919266E-2</v>
      </c>
      <c r="F75" s="166">
        <f t="shared" si="11"/>
        <v>3.2875929102344159</v>
      </c>
      <c r="G75" s="166">
        <f t="shared" si="9"/>
        <v>5.2248369058713884</v>
      </c>
      <c r="H75" s="174">
        <f>$B$211/B75</f>
        <v>2.2129611324186471</v>
      </c>
    </row>
    <row r="76" spans="1:8" ht="14.25" hidden="1" customHeight="1">
      <c r="A76" s="222" t="s">
        <v>181</v>
      </c>
      <c r="B76" s="177">
        <f>[2]geral!I107</f>
        <v>11.2</v>
      </c>
      <c r="C76" s="165">
        <f t="shared" si="13"/>
        <v>120.81984897518879</v>
      </c>
      <c r="D76" s="166">
        <f t="shared" si="5"/>
        <v>-0.80265707168558631</v>
      </c>
      <c r="E76" s="166">
        <f t="shared" si="12"/>
        <v>-0.88495575221240186</v>
      </c>
      <c r="F76" s="166">
        <f t="shared" si="11"/>
        <v>0.9009009009008917</v>
      </c>
      <c r="G76" s="166">
        <f t="shared" si="9"/>
        <v>3.8411971406584478</v>
      </c>
      <c r="H76" s="174">
        <f>$B$211/B76</f>
        <v>2.2308673469387759</v>
      </c>
    </row>
    <row r="77" spans="1:8" ht="14.25" hidden="1" customHeight="1">
      <c r="A77" s="222" t="s">
        <v>182</v>
      </c>
      <c r="B77" s="177">
        <f>[2]geral!I108</f>
        <v>11.3</v>
      </c>
      <c r="C77" s="165">
        <f t="shared" si="13"/>
        <v>121.89859762675297</v>
      </c>
      <c r="D77" s="166">
        <f t="shared" si="5"/>
        <v>0.89285714285716189</v>
      </c>
      <c r="E77" s="166">
        <f t="shared" si="12"/>
        <v>0</v>
      </c>
      <c r="F77" s="166">
        <f t="shared" si="11"/>
        <v>1.3452914798206317</v>
      </c>
      <c r="G77" s="166">
        <f t="shared" si="9"/>
        <v>5.5768889387187048</v>
      </c>
      <c r="H77" s="174">
        <f>$B$211/B77</f>
        <v>2.2111251580278131</v>
      </c>
    </row>
    <row r="78" spans="1:8" ht="14.25" hidden="1" customHeight="1">
      <c r="A78" s="222" t="s">
        <v>183</v>
      </c>
      <c r="B78" s="177">
        <f>[2]geral!I109</f>
        <v>11.38</v>
      </c>
      <c r="C78" s="165">
        <f t="shared" si="13"/>
        <v>122.76159654800432</v>
      </c>
      <c r="D78" s="166">
        <f t="shared" si="5"/>
        <v>0.70796460176991705</v>
      </c>
      <c r="E78" s="166">
        <f t="shared" si="12"/>
        <v>0.70796460176991705</v>
      </c>
      <c r="F78" s="166">
        <f t="shared" si="11"/>
        <v>2.0627802690583064</v>
      </c>
      <c r="G78" s="166">
        <f t="shared" si="9"/>
        <v>6.9863094188847841</v>
      </c>
      <c r="H78" s="174">
        <f>$B$211/B78</f>
        <v>2.1955812201857898</v>
      </c>
    </row>
    <row r="79" spans="1:8" ht="14.25" hidden="1" customHeight="1">
      <c r="A79" s="222" t="s">
        <v>184</v>
      </c>
      <c r="B79" s="177">
        <f>[2]geral!I110</f>
        <v>11.45</v>
      </c>
      <c r="C79" s="165">
        <f t="shared" si="13"/>
        <v>123.51672060409925</v>
      </c>
      <c r="D79" s="166">
        <f t="shared" si="5"/>
        <v>0.61511423550086874</v>
      </c>
      <c r="E79" s="166">
        <f t="shared" si="12"/>
        <v>1.327433628318575</v>
      </c>
      <c r="F79" s="166">
        <f t="shared" si="11"/>
        <v>2.2321428571428603</v>
      </c>
      <c r="G79" s="166">
        <f t="shared" si="9"/>
        <v>7.518046833734382</v>
      </c>
      <c r="H79" s="174">
        <f>$B$211/B79</f>
        <v>2.1821584529008113</v>
      </c>
    </row>
    <row r="80" spans="1:8" ht="14.25" hidden="1" customHeight="1">
      <c r="A80" s="222" t="s">
        <v>185</v>
      </c>
      <c r="B80" s="177">
        <f>[2]geral!I111</f>
        <v>11.7</v>
      </c>
      <c r="C80" s="165">
        <f t="shared" si="13"/>
        <v>126.21359223300972</v>
      </c>
      <c r="D80" s="166">
        <f t="shared" si="5"/>
        <v>2.1834061135371119</v>
      </c>
      <c r="E80" s="166">
        <f t="shared" si="12"/>
        <v>3.5398230088495408</v>
      </c>
      <c r="F80" s="166">
        <f t="shared" si="11"/>
        <v>3.0837004405286361</v>
      </c>
      <c r="G80" s="166">
        <f t="shared" si="9"/>
        <v>10.383866973288502</v>
      </c>
      <c r="H80" s="174">
        <f>$B$211/B80</f>
        <v>2.1355311355311359</v>
      </c>
    </row>
    <row r="81" spans="1:8" ht="14.25" hidden="1" customHeight="1">
      <c r="A81" s="222" t="s">
        <v>186</v>
      </c>
      <c r="B81" s="177">
        <f>[2]geral!I112</f>
        <v>11.85</v>
      </c>
      <c r="C81" s="165">
        <f t="shared" si="13"/>
        <v>127.83171521035599</v>
      </c>
      <c r="D81" s="166">
        <f t="shared" si="5"/>
        <v>1.2820512820512775</v>
      </c>
      <c r="E81" s="166">
        <f t="shared" si="12"/>
        <v>4.8672566371681381</v>
      </c>
      <c r="F81" s="166">
        <f t="shared" si="11"/>
        <v>3.9473684210526327</v>
      </c>
      <c r="G81" s="166">
        <f t="shared" si="9"/>
        <v>11.726576311137315</v>
      </c>
      <c r="H81" s="174">
        <f>$B$211/B81</f>
        <v>2.1084990958408683</v>
      </c>
    </row>
    <row r="82" spans="1:8" ht="14.25" hidden="1" customHeight="1">
      <c r="A82" s="222" t="s">
        <v>187</v>
      </c>
      <c r="B82" s="177">
        <f>[2]geral!I113</f>
        <v>11.95</v>
      </c>
      <c r="C82" s="165">
        <f t="shared" si="13"/>
        <v>128.91046386192019</v>
      </c>
      <c r="D82" s="166">
        <f t="shared" si="5"/>
        <v>0.84388185654007408</v>
      </c>
      <c r="E82" s="166">
        <f t="shared" si="12"/>
        <v>5.7522123893805288</v>
      </c>
      <c r="F82" s="166">
        <f t="shared" si="11"/>
        <v>5.7522123893805288</v>
      </c>
      <c r="G82" s="166">
        <f t="shared" si="9"/>
        <v>13.816298589201725</v>
      </c>
      <c r="H82" s="174">
        <f>$B$211/B82</f>
        <v>2.0908547519426182</v>
      </c>
    </row>
    <row r="83" spans="1:8" ht="14.25" hidden="1" customHeight="1">
      <c r="A83" s="222" t="s">
        <v>188</v>
      </c>
      <c r="B83" s="177">
        <f>[2]geral!K102</f>
        <v>11.61</v>
      </c>
      <c r="C83" s="165">
        <f t="shared" si="13"/>
        <v>125.24271844660194</v>
      </c>
      <c r="D83" s="166">
        <f t="shared" si="5"/>
        <v>-2.8451882845188292</v>
      </c>
      <c r="E83" s="166">
        <f t="shared" ref="E83:E94" si="14">100*((B83/$B$82)-1)</f>
        <v>-2.8451882845188292</v>
      </c>
      <c r="F83" s="166">
        <f t="shared" si="11"/>
        <v>3.2000000000000028</v>
      </c>
      <c r="G83" s="166">
        <f t="shared" si="9"/>
        <v>11.601081405827586</v>
      </c>
      <c r="H83" s="174">
        <f>$B$211/B83</f>
        <v>2.1520856404577335</v>
      </c>
    </row>
    <row r="84" spans="1:8" ht="14.25" hidden="1" customHeight="1">
      <c r="A84" s="222" t="s">
        <v>189</v>
      </c>
      <c r="B84" s="177">
        <f>[2]geral!K103</f>
        <v>14.64</v>
      </c>
      <c r="C84" s="165">
        <f t="shared" si="13"/>
        <v>157.92880258899677</v>
      </c>
      <c r="D84" s="166">
        <f t="shared" si="5"/>
        <v>26.098191214470301</v>
      </c>
      <c r="E84" s="166">
        <f t="shared" si="14"/>
        <v>22.510460251046037</v>
      </c>
      <c r="F84" s="166">
        <f t="shared" si="11"/>
        <v>30.714285714285737</v>
      </c>
      <c r="G84" s="166">
        <f t="shared" si="9"/>
        <v>39.428571428571438</v>
      </c>
      <c r="H84" s="174">
        <f>$B$211/B84</f>
        <v>1.7066744730679158</v>
      </c>
    </row>
    <row r="85" spans="1:8" ht="14.25" hidden="1" customHeight="1">
      <c r="A85" s="222" t="s">
        <v>190</v>
      </c>
      <c r="B85" s="177">
        <f>[2]geral!K104</f>
        <v>14</v>
      </c>
      <c r="C85" s="165">
        <f t="shared" si="13"/>
        <v>151.02481121898597</v>
      </c>
      <c r="D85" s="166">
        <f t="shared" si="5"/>
        <v>-4.3715846994535568</v>
      </c>
      <c r="E85" s="166">
        <f t="shared" si="14"/>
        <v>17.154811715481188</v>
      </c>
      <c r="F85" s="166">
        <f t="shared" si="11"/>
        <v>24.444444444444446</v>
      </c>
      <c r="G85" s="166">
        <f t="shared" si="9"/>
        <v>32.701421800947863</v>
      </c>
      <c r="H85" s="174">
        <f>$B$211/B85</f>
        <v>1.7846938775510206</v>
      </c>
    </row>
    <row r="86" spans="1:8" ht="14.25" hidden="1" customHeight="1">
      <c r="A86" s="222" t="s">
        <v>191</v>
      </c>
      <c r="B86" s="177">
        <f>[2]geral!K105</f>
        <v>14</v>
      </c>
      <c r="C86" s="165">
        <f t="shared" si="13"/>
        <v>151.02481121898597</v>
      </c>
      <c r="D86" s="166">
        <f t="shared" si="5"/>
        <v>0</v>
      </c>
      <c r="E86" s="166">
        <f t="shared" si="14"/>
        <v>17.154811715481188</v>
      </c>
      <c r="F86" s="166">
        <f t="shared" si="11"/>
        <v>23.893805309734507</v>
      </c>
      <c r="G86" s="166">
        <f t="shared" si="9"/>
        <v>31.493982976225432</v>
      </c>
      <c r="H86" s="174">
        <f>$B$211/B86</f>
        <v>1.7846938775510206</v>
      </c>
    </row>
    <row r="87" spans="1:8" ht="14.25" hidden="1" customHeight="1">
      <c r="A87" s="222" t="s">
        <v>192</v>
      </c>
      <c r="B87" s="177">
        <f>[2]geral!K106</f>
        <v>14</v>
      </c>
      <c r="C87" s="165">
        <f t="shared" si="13"/>
        <v>151.02481121898597</v>
      </c>
      <c r="D87" s="166">
        <f t="shared" si="5"/>
        <v>0</v>
      </c>
      <c r="E87" s="166">
        <f t="shared" si="14"/>
        <v>17.154811715481188</v>
      </c>
      <c r="F87" s="166">
        <f t="shared" si="11"/>
        <v>23.996678660393012</v>
      </c>
      <c r="G87" s="166">
        <f t="shared" si="9"/>
        <v>28.073184676958252</v>
      </c>
      <c r="H87" s="174">
        <f>$B$211/B87</f>
        <v>1.7846938775510206</v>
      </c>
    </row>
    <row r="88" spans="1:8" ht="14.25" hidden="1" customHeight="1">
      <c r="A88" s="222" t="s">
        <v>193</v>
      </c>
      <c r="B88" s="177">
        <f>[2]geral!K107</f>
        <v>14</v>
      </c>
      <c r="C88" s="165">
        <f t="shared" si="13"/>
        <v>151.02481121898597</v>
      </c>
      <c r="D88" s="166">
        <f t="shared" si="5"/>
        <v>0</v>
      </c>
      <c r="E88" s="166">
        <f t="shared" si="14"/>
        <v>17.154811715481188</v>
      </c>
      <c r="F88" s="166">
        <f t="shared" si="11"/>
        <v>25</v>
      </c>
      <c r="G88" s="166">
        <f t="shared" si="9"/>
        <v>26.126126126126124</v>
      </c>
      <c r="H88" s="174">
        <f>$B$211/B88</f>
        <v>1.7846938775510206</v>
      </c>
    </row>
    <row r="89" spans="1:8" ht="14.25" hidden="1" customHeight="1">
      <c r="A89" s="222" t="s">
        <v>194</v>
      </c>
      <c r="B89" s="177">
        <f>[2]geral!K108</f>
        <v>16.64</v>
      </c>
      <c r="C89" s="165">
        <f t="shared" si="13"/>
        <v>179.50377562028049</v>
      </c>
      <c r="D89" s="166">
        <f t="shared" si="5"/>
        <v>18.857142857142861</v>
      </c>
      <c r="E89" s="166">
        <f t="shared" si="14"/>
        <v>39.246861924686208</v>
      </c>
      <c r="F89" s="166">
        <f t="shared" si="11"/>
        <v>47.256637168141594</v>
      </c>
      <c r="G89" s="166">
        <f t="shared" si="9"/>
        <v>49.237668161434975</v>
      </c>
      <c r="H89" s="174">
        <f>$B$211/B89</f>
        <v>1.5015453296703298</v>
      </c>
    </row>
    <row r="90" spans="1:8" ht="14.25" hidden="1" customHeight="1">
      <c r="A90" s="222" t="s">
        <v>195</v>
      </c>
      <c r="B90" s="177">
        <f>[2]geral!K109</f>
        <v>16.64</v>
      </c>
      <c r="C90" s="165">
        <f t="shared" si="13"/>
        <v>179.50377562028049</v>
      </c>
      <c r="D90" s="166">
        <f t="shared" si="5"/>
        <v>0</v>
      </c>
      <c r="E90" s="166">
        <f t="shared" si="14"/>
        <v>39.246861924686208</v>
      </c>
      <c r="F90" s="166">
        <f t="shared" si="11"/>
        <v>46.221441124780306</v>
      </c>
      <c r="G90" s="166">
        <f t="shared" si="9"/>
        <v>49.237668161434975</v>
      </c>
      <c r="H90" s="174">
        <f>$B$211/B90</f>
        <v>1.5015453296703298</v>
      </c>
    </row>
    <row r="91" spans="1:8" ht="14.25" hidden="1" customHeight="1">
      <c r="A91" s="222" t="s">
        <v>196</v>
      </c>
      <c r="B91" s="177">
        <f>[2]geral!K110</f>
        <v>16.98</v>
      </c>
      <c r="C91" s="165">
        <f t="shared" si="13"/>
        <v>183.17152103559872</v>
      </c>
      <c r="D91" s="166">
        <f t="shared" ref="D91:D130" si="15">100*((B91/B90)-1)</f>
        <v>2.0432692307692291</v>
      </c>
      <c r="E91" s="166">
        <f t="shared" si="14"/>
        <v>42.092050209205034</v>
      </c>
      <c r="F91" s="166">
        <f t="shared" si="11"/>
        <v>48.29694323144107</v>
      </c>
      <c r="G91" s="166">
        <f t="shared" si="9"/>
        <v>51.607142857142875</v>
      </c>
      <c r="H91" s="174">
        <f>$B$211/B91</f>
        <v>1.4714790509843514</v>
      </c>
    </row>
    <row r="92" spans="1:8" ht="14.25" hidden="1" customHeight="1">
      <c r="A92" s="222" t="s">
        <v>197</v>
      </c>
      <c r="B92" s="177">
        <f>[2]geral!K111</f>
        <v>16.850000000000001</v>
      </c>
      <c r="C92" s="165">
        <f t="shared" si="13"/>
        <v>181.76914778856531</v>
      </c>
      <c r="D92" s="166">
        <f t="shared" si="15"/>
        <v>-0.76560659599528291</v>
      </c>
      <c r="E92" s="166">
        <f t="shared" si="14"/>
        <v>41.004184100418442</v>
      </c>
      <c r="F92" s="166">
        <f t="shared" si="11"/>
        <v>44.017094017094038</v>
      </c>
      <c r="G92" s="166">
        <f t="shared" si="9"/>
        <v>48.458149779735706</v>
      </c>
      <c r="H92" s="174">
        <f>$B$211/B92</f>
        <v>1.4828317083509961</v>
      </c>
    </row>
    <row r="93" spans="1:8" ht="14.25" hidden="1" customHeight="1">
      <c r="A93" s="222" t="s">
        <v>198</v>
      </c>
      <c r="B93" s="177">
        <f>[2]geral!K112</f>
        <v>16.850000000000001</v>
      </c>
      <c r="C93" s="165">
        <f t="shared" si="13"/>
        <v>181.76914778856531</v>
      </c>
      <c r="D93" s="166">
        <f t="shared" si="15"/>
        <v>0</v>
      </c>
      <c r="E93" s="166">
        <f t="shared" si="14"/>
        <v>41.004184100418442</v>
      </c>
      <c r="F93" s="166">
        <f t="shared" si="11"/>
        <v>42.194092827004241</v>
      </c>
      <c r="G93" s="166">
        <f t="shared" si="9"/>
        <v>47.807017543859651</v>
      </c>
      <c r="H93" s="174">
        <f>$B$211/B93</f>
        <v>1.4828317083509961</v>
      </c>
    </row>
    <row r="94" spans="1:8" ht="14.25" hidden="1" customHeight="1">
      <c r="A94" s="222" t="s">
        <v>199</v>
      </c>
      <c r="B94" s="177">
        <f>[2]geral!K113</f>
        <v>17.914285714285715</v>
      </c>
      <c r="C94" s="165">
        <f t="shared" si="13"/>
        <v>193.25011558021268</v>
      </c>
      <c r="D94" s="166">
        <f t="shared" si="15"/>
        <v>6.3162356930902774</v>
      </c>
      <c r="E94" s="166">
        <f t="shared" si="14"/>
        <v>49.91034070531979</v>
      </c>
      <c r="F94" s="166">
        <f t="shared" si="11"/>
        <v>49.91034070531979</v>
      </c>
      <c r="G94" s="166">
        <f t="shared" si="9"/>
        <v>58.533501896333753</v>
      </c>
      <c r="H94" s="174">
        <f>$B$211/B94</f>
        <v>1.3947368421052633</v>
      </c>
    </row>
    <row r="95" spans="1:8" ht="14.25" customHeight="1">
      <c r="A95" s="163" t="s">
        <v>200</v>
      </c>
      <c r="B95" s="177">
        <f>[2]geral!M102</f>
        <v>17.914285714285715</v>
      </c>
      <c r="C95" s="165">
        <f t="shared" si="13"/>
        <v>193.25011558021268</v>
      </c>
      <c r="D95" s="166">
        <f t="shared" si="15"/>
        <v>0</v>
      </c>
      <c r="E95" s="166">
        <f t="shared" ref="E95:E106" si="16">100*((B95/$B$94)-1)</f>
        <v>0</v>
      </c>
      <c r="F95" s="166">
        <f t="shared" si="11"/>
        <v>54.300479881875233</v>
      </c>
      <c r="G95" s="166">
        <f t="shared" si="9"/>
        <v>59.238095238095248</v>
      </c>
      <c r="H95" s="174">
        <f>$B$211/B95</f>
        <v>1.3947368421052633</v>
      </c>
    </row>
    <row r="96" spans="1:8" ht="16.5" customHeight="1">
      <c r="A96" s="163" t="s">
        <v>201</v>
      </c>
      <c r="B96" s="177">
        <f>[2]geral!M103</f>
        <v>17.914285714285715</v>
      </c>
      <c r="C96" s="165">
        <f t="shared" si="13"/>
        <v>193.25011558021268</v>
      </c>
      <c r="D96" s="166">
        <f t="shared" si="15"/>
        <v>0</v>
      </c>
      <c r="E96" s="166">
        <f t="shared" si="16"/>
        <v>0</v>
      </c>
      <c r="F96" s="166">
        <f t="shared" si="11"/>
        <v>22.365339578454325</v>
      </c>
      <c r="G96" s="166">
        <f t="shared" si="9"/>
        <v>59.948979591836739</v>
      </c>
      <c r="H96" s="174">
        <f>$B$211/B96</f>
        <v>1.3947368421052633</v>
      </c>
    </row>
    <row r="97" spans="1:8" ht="16.5" customHeight="1">
      <c r="A97" s="163" t="s">
        <v>202</v>
      </c>
      <c r="B97" s="177">
        <f>[2]geral!M104</f>
        <v>17.914285714285715</v>
      </c>
      <c r="C97" s="165">
        <f t="shared" si="13"/>
        <v>193.25011558021268</v>
      </c>
      <c r="D97" s="166">
        <f t="shared" si="15"/>
        <v>0</v>
      </c>
      <c r="E97" s="166">
        <f t="shared" si="16"/>
        <v>0</v>
      </c>
      <c r="F97" s="166">
        <f t="shared" si="11"/>
        <v>27.95918367346939</v>
      </c>
      <c r="G97" s="166">
        <f t="shared" si="9"/>
        <v>59.238095238095248</v>
      </c>
      <c r="H97" s="174">
        <f>$B$211/B97</f>
        <v>1.3947368421052633</v>
      </c>
    </row>
    <row r="98" spans="1:8" ht="16.5" customHeight="1">
      <c r="A98" s="163" t="s">
        <v>203</v>
      </c>
      <c r="B98" s="177">
        <f>[2]geral!M105</f>
        <v>18</v>
      </c>
      <c r="C98" s="165">
        <f t="shared" si="13"/>
        <v>194.17475728155341</v>
      </c>
      <c r="D98" s="166">
        <f t="shared" si="15"/>
        <v>0.47846889952152249</v>
      </c>
      <c r="E98" s="166">
        <f t="shared" si="16"/>
        <v>0.47846889952152249</v>
      </c>
      <c r="F98" s="166">
        <f t="shared" si="11"/>
        <v>28.57142857142858</v>
      </c>
      <c r="G98" s="166">
        <f t="shared" si="9"/>
        <v>59.29203539823007</v>
      </c>
      <c r="H98" s="174">
        <f>$B$211/B98</f>
        <v>1.3880952380952383</v>
      </c>
    </row>
    <row r="99" spans="1:8" ht="16.5" customHeight="1">
      <c r="A99" s="163" t="s">
        <v>204</v>
      </c>
      <c r="B99" s="177">
        <f>[2]geral!M106</f>
        <v>18</v>
      </c>
      <c r="C99" s="165">
        <f t="shared" si="13"/>
        <v>194.17475728155341</v>
      </c>
      <c r="D99" s="166">
        <f t="shared" si="15"/>
        <v>0</v>
      </c>
      <c r="E99" s="166">
        <f t="shared" si="16"/>
        <v>0.47846889952152249</v>
      </c>
      <c r="F99" s="166">
        <f t="shared" si="11"/>
        <v>28.57142857142858</v>
      </c>
      <c r="G99" s="166">
        <f t="shared" si="9"/>
        <v>59.424301134791023</v>
      </c>
      <c r="H99" s="174">
        <f>$B$211/B99</f>
        <v>1.3880952380952383</v>
      </c>
    </row>
    <row r="100" spans="1:8" ht="16.5" customHeight="1">
      <c r="A100" s="163" t="s">
        <v>205</v>
      </c>
      <c r="B100" s="177">
        <f>[2]geral!M107</f>
        <v>18</v>
      </c>
      <c r="C100" s="165">
        <f t="shared" si="13"/>
        <v>194.17475728155341</v>
      </c>
      <c r="D100" s="166">
        <f t="shared" si="15"/>
        <v>0</v>
      </c>
      <c r="E100" s="166">
        <f t="shared" si="16"/>
        <v>0.47846889952152249</v>
      </c>
      <c r="F100" s="166">
        <f t="shared" si="11"/>
        <v>28.57142857142858</v>
      </c>
      <c r="G100" s="166">
        <f t="shared" si="9"/>
        <v>60.714285714285722</v>
      </c>
      <c r="H100" s="174">
        <f>$B$211/B100</f>
        <v>1.3880952380952383</v>
      </c>
    </row>
    <row r="101" spans="1:8" ht="16.5" customHeight="1">
      <c r="A101" s="163" t="s">
        <v>206</v>
      </c>
      <c r="B101" s="177">
        <f>[2]geral!M108</f>
        <v>17.899999999999999</v>
      </c>
      <c r="C101" s="165">
        <f t="shared" si="13"/>
        <v>193.0960086299892</v>
      </c>
      <c r="D101" s="166">
        <f t="shared" si="15"/>
        <v>-0.55555555555556468</v>
      </c>
      <c r="E101" s="166">
        <f t="shared" si="16"/>
        <v>-7.9744816586935219E-2</v>
      </c>
      <c r="F101" s="166">
        <f t="shared" si="11"/>
        <v>7.5721153846153744</v>
      </c>
      <c r="G101" s="166">
        <f t="shared" si="9"/>
        <v>58.407079646017678</v>
      </c>
      <c r="H101" s="174">
        <f>$B$211/B101</f>
        <v>1.3958499600957703</v>
      </c>
    </row>
    <row r="102" spans="1:8" ht="16.5" customHeight="1">
      <c r="A102" s="163" t="s">
        <v>207</v>
      </c>
      <c r="B102" s="177">
        <f>[2]geral!M109</f>
        <v>18.899999999999999</v>
      </c>
      <c r="C102" s="165">
        <f t="shared" si="13"/>
        <v>203.88349514563106</v>
      </c>
      <c r="D102" s="166">
        <f t="shared" si="15"/>
        <v>5.5865921787709549</v>
      </c>
      <c r="E102" s="166">
        <f t="shared" si="16"/>
        <v>5.5023923444976086</v>
      </c>
      <c r="F102" s="166">
        <f t="shared" si="11"/>
        <v>13.581730769230749</v>
      </c>
      <c r="G102" s="166">
        <f t="shared" si="9"/>
        <v>66.080843585237233</v>
      </c>
      <c r="H102" s="174">
        <f>$B$211/B102</f>
        <v>1.321995464852608</v>
      </c>
    </row>
    <row r="103" spans="1:8" ht="16.5" customHeight="1">
      <c r="A103" s="163" t="s">
        <v>208</v>
      </c>
      <c r="B103" s="177">
        <f>[2]geral!M110</f>
        <v>18.899999999999999</v>
      </c>
      <c r="C103" s="165">
        <f t="shared" si="13"/>
        <v>203.88349514563106</v>
      </c>
      <c r="D103" s="166">
        <f t="shared" si="15"/>
        <v>0</v>
      </c>
      <c r="E103" s="166">
        <f t="shared" si="16"/>
        <v>5.5023923444976086</v>
      </c>
      <c r="F103" s="166">
        <f t="shared" si="11"/>
        <v>11.307420494699638</v>
      </c>
      <c r="G103" s="166">
        <f t="shared" si="9"/>
        <v>65.065502183406124</v>
      </c>
      <c r="H103" s="174">
        <f>$B$211/B103</f>
        <v>1.321995464852608</v>
      </c>
    </row>
    <row r="104" spans="1:8" ht="16.5" customHeight="1">
      <c r="A104" s="163" t="s">
        <v>209</v>
      </c>
      <c r="B104" s="177">
        <f>[2]geral!M111</f>
        <v>18.899999999999999</v>
      </c>
      <c r="C104" s="165">
        <f t="shared" si="13"/>
        <v>203.88349514563106</v>
      </c>
      <c r="D104" s="166">
        <f t="shared" si="15"/>
        <v>0</v>
      </c>
      <c r="E104" s="166">
        <f t="shared" si="16"/>
        <v>5.5023923444976086</v>
      </c>
      <c r="F104" s="166">
        <f t="shared" si="11"/>
        <v>12.166172106824913</v>
      </c>
      <c r="G104" s="166">
        <f t="shared" si="9"/>
        <v>61.53846153846154</v>
      </c>
      <c r="H104" s="174">
        <f>$B$211/B104</f>
        <v>1.321995464852608</v>
      </c>
    </row>
    <row r="105" spans="1:8" ht="16.5" customHeight="1">
      <c r="A105" s="163" t="s">
        <v>210</v>
      </c>
      <c r="B105" s="177">
        <f>[2]geral!M112</f>
        <v>18.899999999999999</v>
      </c>
      <c r="C105" s="165">
        <f t="shared" si="13"/>
        <v>203.88349514563106</v>
      </c>
      <c r="D105" s="166">
        <f t="shared" si="15"/>
        <v>0</v>
      </c>
      <c r="E105" s="166">
        <f t="shared" si="16"/>
        <v>5.5023923444976086</v>
      </c>
      <c r="F105" s="166">
        <f t="shared" si="11"/>
        <v>12.166172106824913</v>
      </c>
      <c r="G105" s="166">
        <f t="shared" si="9"/>
        <v>59.493670886075932</v>
      </c>
      <c r="H105" s="174">
        <f>$B$211/B105</f>
        <v>1.321995464852608</v>
      </c>
    </row>
    <row r="106" spans="1:8" ht="16.5" customHeight="1">
      <c r="A106" s="163" t="s">
        <v>211</v>
      </c>
      <c r="B106" s="177">
        <f>[2]geral!M113</f>
        <v>18.899999999999999</v>
      </c>
      <c r="C106" s="165">
        <f t="shared" si="13"/>
        <v>203.88349514563106</v>
      </c>
      <c r="D106" s="166">
        <f t="shared" si="15"/>
        <v>0</v>
      </c>
      <c r="E106" s="166">
        <f t="shared" si="16"/>
        <v>5.5023923444976086</v>
      </c>
      <c r="F106" s="166">
        <f t="shared" si="11"/>
        <v>5.5023923444976086</v>
      </c>
      <c r="G106" s="166">
        <f t="shared" si="9"/>
        <v>58.158995815899587</v>
      </c>
      <c r="H106" s="174">
        <f>$B$211/B106</f>
        <v>1.321995464852608</v>
      </c>
    </row>
    <row r="107" spans="1:8" ht="16.5" customHeight="1">
      <c r="A107" s="163" t="s">
        <v>212</v>
      </c>
      <c r="B107" s="177">
        <f>[2]geral!C117</f>
        <v>19.042857142857144</v>
      </c>
      <c r="C107" s="165">
        <f t="shared" si="13"/>
        <v>205.42456464786565</v>
      </c>
      <c r="D107" s="166">
        <f t="shared" si="15"/>
        <v>0.75585789871506215</v>
      </c>
      <c r="E107" s="166">
        <f t="shared" ref="E107:E118" si="17">100*((B107/$B$106)-1)</f>
        <v>0.75585789871506215</v>
      </c>
      <c r="F107" s="166">
        <f t="shared" si="11"/>
        <v>6.2998405103668276</v>
      </c>
      <c r="G107" s="166">
        <f t="shared" si="9"/>
        <v>64.02116402116404</v>
      </c>
      <c r="H107" s="174">
        <f>$B$211/B107</f>
        <v>1.3120780195048762</v>
      </c>
    </row>
    <row r="108" spans="1:8" ht="16.5" customHeight="1">
      <c r="A108" s="163" t="s">
        <v>213</v>
      </c>
      <c r="B108" s="177">
        <f>[2]geral!C118</f>
        <v>19.042857142857144</v>
      </c>
      <c r="C108" s="165">
        <f t="shared" si="13"/>
        <v>205.42456464786565</v>
      </c>
      <c r="D108" s="166">
        <f t="shared" si="15"/>
        <v>0</v>
      </c>
      <c r="E108" s="166">
        <f t="shared" si="17"/>
        <v>0.75585789871506215</v>
      </c>
      <c r="F108" s="166">
        <f t="shared" si="11"/>
        <v>6.2998405103668276</v>
      </c>
      <c r="G108" s="166">
        <f t="shared" si="9"/>
        <v>30.074160811865735</v>
      </c>
      <c r="H108" s="174">
        <f>$B$211/B108</f>
        <v>1.3120780195048762</v>
      </c>
    </row>
    <row r="109" spans="1:8" ht="16.5" customHeight="1">
      <c r="A109" s="163" t="s">
        <v>214</v>
      </c>
      <c r="B109" s="177">
        <f>[2]geral!C119</f>
        <v>19.190000000000001</v>
      </c>
      <c r="C109" s="165">
        <f t="shared" si="13"/>
        <v>207.01186623516725</v>
      </c>
      <c r="D109" s="166">
        <f t="shared" si="15"/>
        <v>0.77269317329331511</v>
      </c>
      <c r="E109" s="166">
        <f t="shared" si="17"/>
        <v>1.5343915343915437</v>
      </c>
      <c r="F109" s="166">
        <f t="shared" si="11"/>
        <v>7.1212121212121282</v>
      </c>
      <c r="G109" s="166">
        <f t="shared" si="9"/>
        <v>37.071428571428577</v>
      </c>
      <c r="H109" s="174">
        <f>$B$211/B109</f>
        <v>1.3020174197870915</v>
      </c>
    </row>
    <row r="110" spans="1:8" ht="16.5" customHeight="1">
      <c r="A110" s="163" t="s">
        <v>215</v>
      </c>
      <c r="B110" s="177">
        <f>[2]geral!C120</f>
        <v>19.190000000000001</v>
      </c>
      <c r="C110" s="165">
        <f t="shared" si="13"/>
        <v>207.01186623516725</v>
      </c>
      <c r="D110" s="166">
        <f t="shared" si="15"/>
        <v>0</v>
      </c>
      <c r="E110" s="166">
        <f t="shared" si="17"/>
        <v>1.5343915343915437</v>
      </c>
      <c r="F110" s="166">
        <f t="shared" si="11"/>
        <v>6.6111111111111232</v>
      </c>
      <c r="G110" s="166">
        <f t="shared" si="9"/>
        <v>37.071428571428577</v>
      </c>
      <c r="H110" s="174">
        <f>$B$211/B110</f>
        <v>1.3020174197870915</v>
      </c>
    </row>
    <row r="111" spans="1:8" ht="16.5" customHeight="1">
      <c r="A111" s="163" t="s">
        <v>216</v>
      </c>
      <c r="B111" s="177">
        <f>[2]geral!C121</f>
        <v>18.671428571428574</v>
      </c>
      <c r="C111" s="165">
        <f t="shared" si="13"/>
        <v>201.41778394205582</v>
      </c>
      <c r="D111" s="166">
        <f t="shared" si="15"/>
        <v>-2.7023003052184857</v>
      </c>
      <c r="E111" s="166">
        <f t="shared" si="17"/>
        <v>-1.2093726379440395</v>
      </c>
      <c r="F111" s="166">
        <f t="shared" si="11"/>
        <v>3.7301587301587391</v>
      </c>
      <c r="G111" s="166">
        <f t="shared" si="9"/>
        <v>33.367346938775519</v>
      </c>
      <c r="H111" s="174">
        <f>$B$211/B111</f>
        <v>1.3381790359602141</v>
      </c>
    </row>
    <row r="112" spans="1:8" ht="16.5" customHeight="1">
      <c r="A112" s="163" t="s">
        <v>217</v>
      </c>
      <c r="B112" s="177">
        <f>[2]geral!C122</f>
        <v>18.671428571428574</v>
      </c>
      <c r="C112" s="165">
        <f t="shared" si="13"/>
        <v>201.41778394205582</v>
      </c>
      <c r="D112" s="166">
        <f t="shared" si="15"/>
        <v>0</v>
      </c>
      <c r="E112" s="166">
        <f t="shared" si="17"/>
        <v>-1.2093726379440395</v>
      </c>
      <c r="F112" s="166">
        <f t="shared" si="11"/>
        <v>3.7301587301587391</v>
      </c>
      <c r="G112" s="166">
        <f t="shared" si="9"/>
        <v>33.367346938775519</v>
      </c>
      <c r="H112" s="174">
        <f>$B$211/B112</f>
        <v>1.3381790359602141</v>
      </c>
    </row>
    <row r="113" spans="1:8" ht="16.5" customHeight="1">
      <c r="A113" s="163" t="s">
        <v>218</v>
      </c>
      <c r="B113" s="177">
        <f>[2]geral!C123</f>
        <v>18.671428571428574</v>
      </c>
      <c r="C113" s="165">
        <f t="shared" si="13"/>
        <v>201.41778394205582</v>
      </c>
      <c r="D113" s="166">
        <f t="shared" si="15"/>
        <v>0</v>
      </c>
      <c r="E113" s="166">
        <f t="shared" si="17"/>
        <v>-1.2093726379440395</v>
      </c>
      <c r="F113" s="166">
        <f t="shared" si="11"/>
        <v>4.3096568236233201</v>
      </c>
      <c r="G113" s="166">
        <f t="shared" si="9"/>
        <v>12.208104395604401</v>
      </c>
      <c r="H113" s="174">
        <f>$B$211/B113</f>
        <v>1.3381790359602141</v>
      </c>
    </row>
    <row r="114" spans="1:8" ht="16.5" customHeight="1">
      <c r="A114" s="163" t="s">
        <v>219</v>
      </c>
      <c r="B114" s="177">
        <f>[2]geral!C124</f>
        <v>18.671428571428574</v>
      </c>
      <c r="C114" s="165">
        <f t="shared" si="13"/>
        <v>201.41778394205582</v>
      </c>
      <c r="D114" s="166">
        <f t="shared" si="15"/>
        <v>0</v>
      </c>
      <c r="E114" s="166">
        <f t="shared" si="17"/>
        <v>-1.2093726379440395</v>
      </c>
      <c r="F114" s="166">
        <f t="shared" si="11"/>
        <v>-1.2093726379440395</v>
      </c>
      <c r="G114" s="166">
        <f t="shared" ref="G114:G130" si="18">100*(B114/B90-1)</f>
        <v>12.208104395604401</v>
      </c>
      <c r="H114" s="174">
        <f>$B$211/B114</f>
        <v>1.3381790359602141</v>
      </c>
    </row>
    <row r="115" spans="1:8" ht="16.5" customHeight="1">
      <c r="A115" s="163" t="s">
        <v>220</v>
      </c>
      <c r="B115" s="177">
        <f>[2]geral!C125</f>
        <v>18.671428571428574</v>
      </c>
      <c r="C115" s="165">
        <f t="shared" si="13"/>
        <v>201.41778394205582</v>
      </c>
      <c r="D115" s="166">
        <f t="shared" si="15"/>
        <v>0</v>
      </c>
      <c r="E115" s="166">
        <f t="shared" si="17"/>
        <v>-1.2093726379440395</v>
      </c>
      <c r="F115" s="166">
        <f t="shared" si="11"/>
        <v>-1.2093726379440395</v>
      </c>
      <c r="G115" s="166">
        <f t="shared" si="18"/>
        <v>9.9612990072354144</v>
      </c>
      <c r="H115" s="174">
        <f>$B$211/B115</f>
        <v>1.3381790359602141</v>
      </c>
    </row>
    <row r="116" spans="1:8" ht="16.5" customHeight="1">
      <c r="A116" s="163" t="s">
        <v>221</v>
      </c>
      <c r="B116" s="177">
        <f>[2]geral!C126</f>
        <v>20.100000000000001</v>
      </c>
      <c r="C116" s="165">
        <f t="shared" si="13"/>
        <v>216.82847896440134</v>
      </c>
      <c r="D116" s="166">
        <f t="shared" si="15"/>
        <v>7.6511094108645761</v>
      </c>
      <c r="E116" s="166">
        <f t="shared" si="17"/>
        <v>6.3492063492063711</v>
      </c>
      <c r="F116" s="166">
        <f t="shared" si="11"/>
        <v>6.3492063492063711</v>
      </c>
      <c r="G116" s="166">
        <f t="shared" si="18"/>
        <v>19.287833827893163</v>
      </c>
      <c r="H116" s="174">
        <f>$B$211/B116</f>
        <v>1.2430703624733475</v>
      </c>
    </row>
    <row r="117" spans="1:8" ht="16.5" customHeight="1">
      <c r="A117" s="163" t="s">
        <v>222</v>
      </c>
      <c r="B117" s="177">
        <f>[2]geral!C127</f>
        <v>20.100000000000001</v>
      </c>
      <c r="C117" s="165">
        <f t="shared" si="13"/>
        <v>216.82847896440134</v>
      </c>
      <c r="D117" s="166">
        <f t="shared" si="15"/>
        <v>0</v>
      </c>
      <c r="E117" s="166">
        <f t="shared" si="17"/>
        <v>6.3492063492063711</v>
      </c>
      <c r="F117" s="166">
        <f t="shared" si="11"/>
        <v>6.3492063492063711</v>
      </c>
      <c r="G117" s="166">
        <f t="shared" si="18"/>
        <v>19.287833827893163</v>
      </c>
      <c r="H117" s="174">
        <f>$B$211/B117</f>
        <v>1.2430703624733475</v>
      </c>
    </row>
    <row r="118" spans="1:8" ht="16.5" customHeight="1">
      <c r="A118" s="163" t="s">
        <v>223</v>
      </c>
      <c r="B118" s="177">
        <f>[2]geral!C128</f>
        <v>20.100000000000001</v>
      </c>
      <c r="C118" s="165">
        <f t="shared" si="13"/>
        <v>216.82847896440134</v>
      </c>
      <c r="D118" s="166">
        <f t="shared" si="15"/>
        <v>0</v>
      </c>
      <c r="E118" s="166">
        <f t="shared" si="17"/>
        <v>6.3492063492063711</v>
      </c>
      <c r="F118" s="166">
        <f t="shared" si="11"/>
        <v>6.3492063492063711</v>
      </c>
      <c r="G118" s="166">
        <f t="shared" si="18"/>
        <v>12.200956937799056</v>
      </c>
      <c r="H118" s="174">
        <f>$B$211/B118</f>
        <v>1.2430703624733475</v>
      </c>
    </row>
    <row r="119" spans="1:8" ht="16.5" customHeight="1">
      <c r="A119" s="163" t="s">
        <v>224</v>
      </c>
      <c r="B119" s="177">
        <f>[2]geral!E117</f>
        <v>20.100000000000001</v>
      </c>
      <c r="C119" s="165">
        <f t="shared" si="13"/>
        <v>216.82847896440134</v>
      </c>
      <c r="D119" s="166">
        <f t="shared" si="15"/>
        <v>0</v>
      </c>
      <c r="E119" s="166">
        <f t="shared" ref="E119:E130" si="19">100*((B119/$B$118)-1)</f>
        <v>0</v>
      </c>
      <c r="F119" s="166">
        <f t="shared" si="11"/>
        <v>5.5513878469617417</v>
      </c>
      <c r="G119" s="166">
        <f t="shared" si="18"/>
        <v>12.200956937799056</v>
      </c>
      <c r="H119" s="174">
        <f>$B$211/B119</f>
        <v>1.2430703624733475</v>
      </c>
    </row>
    <row r="120" spans="1:8" ht="16.5" customHeight="1">
      <c r="A120" s="163" t="s">
        <v>225</v>
      </c>
      <c r="B120" s="177">
        <f>[2]geral!E118</f>
        <v>20.100000000000001</v>
      </c>
      <c r="C120" s="165">
        <f t="shared" si="13"/>
        <v>216.82847896440134</v>
      </c>
      <c r="D120" s="166">
        <f t="shared" si="15"/>
        <v>0</v>
      </c>
      <c r="E120" s="166">
        <f t="shared" si="19"/>
        <v>0</v>
      </c>
      <c r="F120" s="166">
        <f t="shared" si="11"/>
        <v>5.5513878469617417</v>
      </c>
      <c r="G120" s="166">
        <f t="shared" si="18"/>
        <v>12.200956937799056</v>
      </c>
      <c r="H120" s="174">
        <f>$B$211/B120</f>
        <v>1.2430703624733475</v>
      </c>
    </row>
    <row r="121" spans="1:8" ht="16.5" customHeight="1">
      <c r="A121" s="163" t="s">
        <v>226</v>
      </c>
      <c r="B121" s="177">
        <f>[2]geral!E119</f>
        <v>20.100000000000001</v>
      </c>
      <c r="C121" s="165">
        <f t="shared" si="13"/>
        <v>216.82847896440134</v>
      </c>
      <c r="D121" s="166">
        <f t="shared" si="15"/>
        <v>0</v>
      </c>
      <c r="E121" s="166">
        <f t="shared" si="19"/>
        <v>0</v>
      </c>
      <c r="F121" s="166">
        <f t="shared" si="11"/>
        <v>4.7420531526837006</v>
      </c>
      <c r="G121" s="166">
        <f t="shared" si="18"/>
        <v>12.200956937799056</v>
      </c>
      <c r="H121" s="174">
        <f>$B$211/B121</f>
        <v>1.2430703624733475</v>
      </c>
    </row>
    <row r="122" spans="1:8" ht="16.5" customHeight="1">
      <c r="A122" s="163" t="s">
        <v>227</v>
      </c>
      <c r="B122" s="177">
        <f>[2]geral!E120</f>
        <v>20.100000000000001</v>
      </c>
      <c r="C122" s="165">
        <f t="shared" si="13"/>
        <v>216.82847896440134</v>
      </c>
      <c r="D122" s="166">
        <f t="shared" si="15"/>
        <v>0</v>
      </c>
      <c r="E122" s="166">
        <f t="shared" si="19"/>
        <v>0</v>
      </c>
      <c r="F122" s="166">
        <f t="shared" si="11"/>
        <v>4.7420531526837006</v>
      </c>
      <c r="G122" s="166">
        <f t="shared" si="18"/>
        <v>11.66666666666667</v>
      </c>
      <c r="H122" s="174">
        <f>$B$211/B122</f>
        <v>1.2430703624733475</v>
      </c>
    </row>
    <row r="123" spans="1:8" ht="16.5" customHeight="1">
      <c r="A123" s="163" t="s">
        <v>228</v>
      </c>
      <c r="B123" s="177">
        <f>[2]geral!E121</f>
        <v>20.157142857142862</v>
      </c>
      <c r="C123" s="165">
        <f t="shared" si="13"/>
        <v>217.44490676529517</v>
      </c>
      <c r="D123" s="166">
        <f t="shared" si="15"/>
        <v>0.28429282160626901</v>
      </c>
      <c r="E123" s="166">
        <f t="shared" si="19"/>
        <v>0.28429282160626901</v>
      </c>
      <c r="F123" s="166">
        <f t="shared" si="11"/>
        <v>7.957153787299176</v>
      </c>
      <c r="G123" s="166">
        <f t="shared" si="18"/>
        <v>11.984126984127009</v>
      </c>
      <c r="H123" s="174">
        <f>$B$211/B123</f>
        <v>1.2395464209780296</v>
      </c>
    </row>
    <row r="124" spans="1:8" ht="16.5" customHeight="1">
      <c r="A124" s="163" t="s">
        <v>229</v>
      </c>
      <c r="B124" s="177">
        <f>[2]geral!E122</f>
        <v>20.157142857142862</v>
      </c>
      <c r="C124" s="165">
        <f t="shared" si="13"/>
        <v>217.44490676529517</v>
      </c>
      <c r="D124" s="166">
        <f t="shared" si="15"/>
        <v>0</v>
      </c>
      <c r="E124" s="166">
        <f t="shared" si="19"/>
        <v>0.28429282160626901</v>
      </c>
      <c r="F124" s="166">
        <f t="shared" si="11"/>
        <v>7.957153787299176</v>
      </c>
      <c r="G124" s="166">
        <f t="shared" si="18"/>
        <v>11.984126984127009</v>
      </c>
      <c r="H124" s="174">
        <f>$B$211/B124</f>
        <v>1.2395464209780296</v>
      </c>
    </row>
    <row r="125" spans="1:8" ht="16.5" customHeight="1">
      <c r="A125" s="163" t="s">
        <v>230</v>
      </c>
      <c r="B125" s="177">
        <f>[2]geral!E123</f>
        <v>20.014285714285716</v>
      </c>
      <c r="C125" s="165">
        <f t="shared" si="13"/>
        <v>215.90383726306058</v>
      </c>
      <c r="D125" s="166">
        <f t="shared" si="15"/>
        <v>-0.70871722182850316</v>
      </c>
      <c r="E125" s="166">
        <f t="shared" si="19"/>
        <v>-0.42643923240938131</v>
      </c>
      <c r="F125" s="166">
        <f t="shared" si="11"/>
        <v>7.1920428462126873</v>
      </c>
      <c r="G125" s="166">
        <f t="shared" si="18"/>
        <v>11.811652035115738</v>
      </c>
      <c r="H125" s="174">
        <f>$B$211/B125</f>
        <v>1.2483940042826551</v>
      </c>
    </row>
    <row r="126" spans="1:8" ht="16.5" customHeight="1">
      <c r="A126" s="163" t="s">
        <v>231</v>
      </c>
      <c r="B126" s="177">
        <f>[2]geral!E124</f>
        <v>20.014285714285716</v>
      </c>
      <c r="C126" s="165">
        <f t="shared" si="13"/>
        <v>215.90383726306058</v>
      </c>
      <c r="D126" s="166">
        <f t="shared" si="15"/>
        <v>0</v>
      </c>
      <c r="E126" s="166">
        <f t="shared" si="19"/>
        <v>-0.42643923240938131</v>
      </c>
      <c r="F126" s="166">
        <f t="shared" si="11"/>
        <v>7.1920428462126873</v>
      </c>
      <c r="G126" s="166">
        <f t="shared" si="18"/>
        <v>5.8956916099773382</v>
      </c>
      <c r="H126" s="174">
        <f>$B$211/B126</f>
        <v>1.2483940042826551</v>
      </c>
    </row>
    <row r="127" spans="1:8" ht="16.5" customHeight="1">
      <c r="A127" s="163" t="s">
        <v>232</v>
      </c>
      <c r="B127" s="177">
        <f>[2]geral!E125</f>
        <v>20.014285714285716</v>
      </c>
      <c r="C127" s="165">
        <f t="shared" si="13"/>
        <v>215.90383726306058</v>
      </c>
      <c r="D127" s="166">
        <f t="shared" si="15"/>
        <v>0</v>
      </c>
      <c r="E127" s="166">
        <f t="shared" si="19"/>
        <v>-0.42643923240938131</v>
      </c>
      <c r="F127" s="166">
        <f t="shared" si="11"/>
        <v>7.1920428462126873</v>
      </c>
      <c r="G127" s="166">
        <f t="shared" si="18"/>
        <v>5.8956916099773382</v>
      </c>
      <c r="H127" s="174">
        <f>$B$211/B127</f>
        <v>1.2483940042826551</v>
      </c>
    </row>
    <row r="128" spans="1:8" ht="16.5" customHeight="1">
      <c r="A128" s="163" t="s">
        <v>233</v>
      </c>
      <c r="B128" s="177">
        <f>[2]geral!E126</f>
        <v>20.014285714285716</v>
      </c>
      <c r="C128" s="165">
        <f t="shared" si="13"/>
        <v>215.90383726306058</v>
      </c>
      <c r="D128" s="166">
        <f t="shared" si="15"/>
        <v>0</v>
      </c>
      <c r="E128" s="166">
        <f t="shared" si="19"/>
        <v>-0.42643923240938131</v>
      </c>
      <c r="F128" s="166">
        <f t="shared" si="11"/>
        <v>-0.42643923240938131</v>
      </c>
      <c r="G128" s="166">
        <f t="shared" si="18"/>
        <v>5.8956916099773382</v>
      </c>
      <c r="H128" s="174">
        <f>$B$211/B128</f>
        <v>1.2483940042826551</v>
      </c>
    </row>
    <row r="129" spans="1:8" ht="16.5" customHeight="1">
      <c r="A129" s="163" t="s">
        <v>234</v>
      </c>
      <c r="B129" s="177">
        <f>[2]geral!E127</f>
        <v>20.014285714285716</v>
      </c>
      <c r="C129" s="165">
        <f t="shared" si="13"/>
        <v>215.90383726306058</v>
      </c>
      <c r="D129" s="166">
        <f t="shared" si="15"/>
        <v>0</v>
      </c>
      <c r="E129" s="166">
        <f t="shared" si="19"/>
        <v>-0.42643923240938131</v>
      </c>
      <c r="F129" s="166">
        <f t="shared" si="11"/>
        <v>-0.42643923240938131</v>
      </c>
      <c r="G129" s="166">
        <f t="shared" si="18"/>
        <v>5.8956916099773382</v>
      </c>
      <c r="H129" s="174">
        <f>$B$211/B129</f>
        <v>1.2483940042826551</v>
      </c>
    </row>
    <row r="130" spans="1:8" ht="16.5" customHeight="1">
      <c r="A130" s="163" t="s">
        <v>235</v>
      </c>
      <c r="B130" s="177">
        <f>[2]geral!E128</f>
        <v>20.228571428571431</v>
      </c>
      <c r="C130" s="165">
        <f t="shared" si="13"/>
        <v>218.21544151641243</v>
      </c>
      <c r="D130" s="166">
        <f t="shared" si="15"/>
        <v>1.0706638115631772</v>
      </c>
      <c r="E130" s="166">
        <f t="shared" si="19"/>
        <v>0.63965884861407751</v>
      </c>
      <c r="F130" s="166">
        <f t="shared" si="11"/>
        <v>0.63965884861407751</v>
      </c>
      <c r="G130" s="166">
        <f t="shared" si="18"/>
        <v>7.0294784580499092</v>
      </c>
      <c r="H130" s="174">
        <f>$B$211/B130</f>
        <v>1.2351694915254237</v>
      </c>
    </row>
    <row r="131" spans="1:8" ht="16.5" customHeight="1">
      <c r="A131" s="163" t="s">
        <v>236</v>
      </c>
      <c r="B131" s="177">
        <f>[2]geral!G117</f>
        <v>20.228571428571431</v>
      </c>
      <c r="C131" s="165">
        <f t="shared" si="13"/>
        <v>218.21544151641243</v>
      </c>
      <c r="D131" s="166">
        <f t="shared" ref="D131:D136" si="20">100*((B131/B130)-1)</f>
        <v>0</v>
      </c>
      <c r="E131" s="166">
        <f t="shared" ref="E131:E136" si="21">100*((B131/$B$130)-1)</f>
        <v>0</v>
      </c>
      <c r="F131" s="166">
        <f t="shared" ref="F131:F136" si="22">100*((B131/B119)-1)</f>
        <v>0.63965884861407751</v>
      </c>
      <c r="G131" s="166">
        <f t="shared" ref="G131:G136" si="23">100*(B131/B107-1)</f>
        <v>6.226556639159786</v>
      </c>
      <c r="H131" s="174">
        <f>$B$211/B131</f>
        <v>1.2351694915254237</v>
      </c>
    </row>
    <row r="132" spans="1:8" ht="16.5" customHeight="1">
      <c r="A132" s="163" t="s">
        <v>237</v>
      </c>
      <c r="B132" s="177">
        <f>[2]geral!G118</f>
        <v>20.228571428571431</v>
      </c>
      <c r="C132" s="165">
        <f t="shared" si="13"/>
        <v>218.21544151641243</v>
      </c>
      <c r="D132" s="166">
        <f t="shared" si="20"/>
        <v>0</v>
      </c>
      <c r="E132" s="166">
        <f t="shared" si="21"/>
        <v>0</v>
      </c>
      <c r="F132" s="166">
        <f t="shared" si="22"/>
        <v>0.63965884861407751</v>
      </c>
      <c r="G132" s="166">
        <f t="shared" si="23"/>
        <v>6.226556639159786</v>
      </c>
      <c r="H132" s="174">
        <f>$B$211/B132</f>
        <v>1.2351694915254237</v>
      </c>
    </row>
    <row r="133" spans="1:8" ht="16.5" customHeight="1">
      <c r="A133" s="163" t="s">
        <v>238</v>
      </c>
      <c r="B133" s="177">
        <f>[2]geral!G119</f>
        <v>20.228571428571431</v>
      </c>
      <c r="C133" s="165">
        <f t="shared" si="13"/>
        <v>218.21544151641243</v>
      </c>
      <c r="D133" s="166">
        <f t="shared" si="20"/>
        <v>0</v>
      </c>
      <c r="E133" s="166">
        <f t="shared" si="21"/>
        <v>0</v>
      </c>
      <c r="F133" s="166">
        <f t="shared" si="22"/>
        <v>0.63965884861407751</v>
      </c>
      <c r="G133" s="166">
        <f t="shared" si="23"/>
        <v>5.4120449638948909</v>
      </c>
      <c r="H133" s="174">
        <f>$B$211/B133</f>
        <v>1.2351694915254237</v>
      </c>
    </row>
    <row r="134" spans="1:8" ht="16.5" customHeight="1">
      <c r="A134" s="163" t="s">
        <v>239</v>
      </c>
      <c r="B134" s="177">
        <f>[2]geral!G120</f>
        <v>20.228571428571431</v>
      </c>
      <c r="C134" s="165">
        <f t="shared" si="13"/>
        <v>218.21544151641243</v>
      </c>
      <c r="D134" s="166">
        <f t="shared" si="20"/>
        <v>0</v>
      </c>
      <c r="E134" s="166">
        <f t="shared" si="21"/>
        <v>0</v>
      </c>
      <c r="F134" s="166">
        <f t="shared" si="22"/>
        <v>0.63965884861407751</v>
      </c>
      <c r="G134" s="166">
        <f t="shared" si="23"/>
        <v>5.4120449638948909</v>
      </c>
      <c r="H134" s="174">
        <f>$B$211/B134</f>
        <v>1.2351694915254237</v>
      </c>
    </row>
    <row r="135" spans="1:8" ht="16.5" customHeight="1">
      <c r="A135" s="163" t="s">
        <v>240</v>
      </c>
      <c r="B135" s="177">
        <f>[2]geral!G121</f>
        <v>20.228571428571431</v>
      </c>
      <c r="C135" s="165">
        <f t="shared" si="13"/>
        <v>218.21544151641243</v>
      </c>
      <c r="D135" s="166">
        <f t="shared" si="20"/>
        <v>0</v>
      </c>
      <c r="E135" s="166">
        <f t="shared" si="21"/>
        <v>0</v>
      </c>
      <c r="F135" s="166">
        <f t="shared" si="22"/>
        <v>0.35435861091424048</v>
      </c>
      <c r="G135" s="166">
        <f t="shared" si="23"/>
        <v>8.3397092578423759</v>
      </c>
      <c r="H135" s="174">
        <f>$B$211/B135</f>
        <v>1.2351694915254237</v>
      </c>
    </row>
    <row r="136" spans="1:8" ht="16.5" customHeight="1">
      <c r="A136" s="163" t="s">
        <v>241</v>
      </c>
      <c r="B136" s="177">
        <f>[2]geral!G122</f>
        <v>20.228571428571431</v>
      </c>
      <c r="C136" s="165">
        <f t="shared" si="13"/>
        <v>218.21544151641243</v>
      </c>
      <c r="D136" s="166">
        <f t="shared" si="20"/>
        <v>0</v>
      </c>
      <c r="E136" s="166">
        <f t="shared" si="21"/>
        <v>0</v>
      </c>
      <c r="F136" s="166">
        <f t="shared" si="22"/>
        <v>0.35435861091424048</v>
      </c>
      <c r="G136" s="166">
        <f t="shared" si="23"/>
        <v>8.3397092578423759</v>
      </c>
      <c r="H136" s="174">
        <f>$B$211/B136</f>
        <v>1.2351694915254237</v>
      </c>
    </row>
    <row r="137" spans="1:8" ht="16.5" customHeight="1">
      <c r="A137" s="163" t="s">
        <v>242</v>
      </c>
      <c r="B137" s="177">
        <f>[2]geral!G123</f>
        <v>20.228571428571431</v>
      </c>
      <c r="C137" s="165">
        <f t="shared" ref="C137:C142" si="24">100*B137/$B$8</f>
        <v>218.21544151641243</v>
      </c>
      <c r="D137" s="166">
        <f t="shared" ref="D137:D142" si="25">100*((B137/B136)-1)</f>
        <v>0</v>
      </c>
      <c r="E137" s="166">
        <f t="shared" ref="E137:E142" si="26">100*((B137/$B$130)-1)</f>
        <v>0</v>
      </c>
      <c r="F137" s="166">
        <f t="shared" ref="F137:F142" si="27">100*((B137/B125)-1)</f>
        <v>1.0706638115631772</v>
      </c>
      <c r="G137" s="166">
        <f t="shared" ref="G137:G142" si="28">100*(B137/B113-1)</f>
        <v>8.3397092578423759</v>
      </c>
      <c r="H137" s="174">
        <f>$B$211/B137</f>
        <v>1.2351694915254237</v>
      </c>
    </row>
    <row r="138" spans="1:8" ht="16.5" customHeight="1">
      <c r="A138" s="163" t="s">
        <v>243</v>
      </c>
      <c r="B138" s="177">
        <f>[2]geral!G124</f>
        <v>20.228571428571431</v>
      </c>
      <c r="C138" s="165">
        <f t="shared" si="24"/>
        <v>218.21544151641243</v>
      </c>
      <c r="D138" s="166">
        <f t="shared" si="25"/>
        <v>0</v>
      </c>
      <c r="E138" s="166">
        <f t="shared" si="26"/>
        <v>0</v>
      </c>
      <c r="F138" s="166">
        <f t="shared" si="27"/>
        <v>1.0706638115631772</v>
      </c>
      <c r="G138" s="166">
        <f t="shared" si="28"/>
        <v>8.3397092578423759</v>
      </c>
      <c r="H138" s="174">
        <f>$B$211/B138</f>
        <v>1.2351694915254237</v>
      </c>
    </row>
    <row r="139" spans="1:8" ht="16.5" customHeight="1">
      <c r="A139" s="163" t="s">
        <v>244</v>
      </c>
      <c r="B139" s="177">
        <f>[2]geral!G125</f>
        <v>20.228571428571431</v>
      </c>
      <c r="C139" s="165">
        <f t="shared" si="24"/>
        <v>218.21544151641243</v>
      </c>
      <c r="D139" s="166">
        <f t="shared" si="25"/>
        <v>0</v>
      </c>
      <c r="E139" s="166">
        <f t="shared" si="26"/>
        <v>0</v>
      </c>
      <c r="F139" s="166">
        <f t="shared" si="27"/>
        <v>1.0706638115631772</v>
      </c>
      <c r="G139" s="166">
        <f t="shared" si="28"/>
        <v>8.3397092578423759</v>
      </c>
      <c r="H139" s="174">
        <f>$B$211/B139</f>
        <v>1.2351694915254237</v>
      </c>
    </row>
    <row r="140" spans="1:8" ht="16.5" customHeight="1">
      <c r="A140" s="163" t="s">
        <v>245</v>
      </c>
      <c r="B140" s="177">
        <f>[2]geral!G126</f>
        <v>20.228571428571431</v>
      </c>
      <c r="C140" s="165">
        <f t="shared" si="24"/>
        <v>218.21544151641243</v>
      </c>
      <c r="D140" s="166">
        <f t="shared" si="25"/>
        <v>0</v>
      </c>
      <c r="E140" s="166">
        <f t="shared" si="26"/>
        <v>0</v>
      </c>
      <c r="F140" s="166">
        <f t="shared" si="27"/>
        <v>1.0706638115631772</v>
      </c>
      <c r="G140" s="166">
        <f t="shared" si="28"/>
        <v>0.63965884861407751</v>
      </c>
      <c r="H140" s="174">
        <f>$B$211/B140</f>
        <v>1.2351694915254237</v>
      </c>
    </row>
    <row r="141" spans="1:8" ht="16.5" customHeight="1">
      <c r="A141" s="163" t="s">
        <v>246</v>
      </c>
      <c r="B141" s="177">
        <f>[2]geral!G127</f>
        <v>20.228571428571431</v>
      </c>
      <c r="C141" s="165">
        <f t="shared" si="24"/>
        <v>218.21544151641243</v>
      </c>
      <c r="D141" s="166">
        <f t="shared" si="25"/>
        <v>0</v>
      </c>
      <c r="E141" s="166">
        <f t="shared" si="26"/>
        <v>0</v>
      </c>
      <c r="F141" s="166">
        <f t="shared" si="27"/>
        <v>1.0706638115631772</v>
      </c>
      <c r="G141" s="166">
        <f t="shared" si="28"/>
        <v>0.63965884861407751</v>
      </c>
      <c r="H141" s="174">
        <f>$B$211/B141</f>
        <v>1.2351694915254237</v>
      </c>
    </row>
    <row r="142" spans="1:8" ht="16.5" customHeight="1">
      <c r="A142" s="163" t="s">
        <v>247</v>
      </c>
      <c r="B142" s="177">
        <f>[2]geral!G128</f>
        <v>20.228571428571431</v>
      </c>
      <c r="C142" s="165">
        <f t="shared" si="24"/>
        <v>218.21544151641243</v>
      </c>
      <c r="D142" s="166">
        <f t="shared" si="25"/>
        <v>0</v>
      </c>
      <c r="E142" s="166">
        <f t="shared" si="26"/>
        <v>0</v>
      </c>
      <c r="F142" s="166">
        <f t="shared" si="27"/>
        <v>0</v>
      </c>
      <c r="G142" s="179">
        <f t="shared" si="28"/>
        <v>0.63965884861407751</v>
      </c>
      <c r="H142" s="174">
        <f>$B$211/B142</f>
        <v>1.2351694915254237</v>
      </c>
    </row>
    <row r="143" spans="1:8" ht="16.5" customHeight="1">
      <c r="A143" s="163" t="s">
        <v>248</v>
      </c>
      <c r="B143" s="180">
        <f>[2]geral!I117</f>
        <v>20.6</v>
      </c>
      <c r="C143" s="165">
        <f t="shared" ref="C143:C148" si="29">100*B143/$B$8</f>
        <v>222.22222222222223</v>
      </c>
      <c r="D143" s="166">
        <f t="shared" ref="D143:D148" si="30">100*((B143/B142)-1)</f>
        <v>1.836158192090398</v>
      </c>
      <c r="E143" s="166">
        <f t="shared" ref="E143:E148" si="31">100*((B143/$B$142)-1)</f>
        <v>1.836158192090398</v>
      </c>
      <c r="F143" s="166">
        <f t="shared" ref="F143:F148" si="32">100*((B143/B131)-1)</f>
        <v>1.836158192090398</v>
      </c>
      <c r="G143" s="179">
        <f t="shared" ref="G143:G148" si="33">100*(B143/B119-1)</f>
        <v>2.4875621890547261</v>
      </c>
      <c r="H143" s="174">
        <f>$B$211/B143</f>
        <v>1.2128987517337031</v>
      </c>
    </row>
    <row r="144" spans="1:8" ht="16.5" customHeight="1">
      <c r="A144" s="163" t="s">
        <v>249</v>
      </c>
      <c r="B144" s="180">
        <f>[2]geral!I118</f>
        <v>20.628571428571433</v>
      </c>
      <c r="C144" s="165">
        <f t="shared" si="29"/>
        <v>222.53043612266916</v>
      </c>
      <c r="D144" s="166">
        <f t="shared" si="30"/>
        <v>0.13869625520113171</v>
      </c>
      <c r="E144" s="166">
        <f t="shared" si="31"/>
        <v>1.9774011299435124</v>
      </c>
      <c r="F144" s="166">
        <f t="shared" si="32"/>
        <v>1.9774011299435124</v>
      </c>
      <c r="G144" s="179">
        <f t="shared" si="33"/>
        <v>2.6297085998578718</v>
      </c>
      <c r="H144" s="174">
        <f>$B$211/B144</f>
        <v>1.2112188365650967</v>
      </c>
    </row>
    <row r="145" spans="1:8" ht="16.5" customHeight="1">
      <c r="A145" s="163" t="s">
        <v>250</v>
      </c>
      <c r="B145" s="180">
        <f>[2]geral!I119</f>
        <v>20.628571428571433</v>
      </c>
      <c r="C145" s="165">
        <f t="shared" si="29"/>
        <v>222.53043612266916</v>
      </c>
      <c r="D145" s="166">
        <f t="shared" si="30"/>
        <v>0</v>
      </c>
      <c r="E145" s="166">
        <f t="shared" si="31"/>
        <v>1.9774011299435124</v>
      </c>
      <c r="F145" s="166">
        <f t="shared" si="32"/>
        <v>1.9774011299435124</v>
      </c>
      <c r="G145" s="179">
        <f t="shared" si="33"/>
        <v>2.6297085998578718</v>
      </c>
      <c r="H145" s="174">
        <f>$B$211/B145</f>
        <v>1.2112188365650967</v>
      </c>
    </row>
    <row r="146" spans="1:8" ht="16.5" customHeight="1">
      <c r="A146" s="163" t="s">
        <v>252</v>
      </c>
      <c r="B146" s="180">
        <f>[2]geral!I120</f>
        <v>20.628571428571433</v>
      </c>
      <c r="C146" s="165">
        <f t="shared" si="29"/>
        <v>222.53043612266916</v>
      </c>
      <c r="D146" s="166">
        <f t="shared" si="30"/>
        <v>0</v>
      </c>
      <c r="E146" s="166">
        <f t="shared" si="31"/>
        <v>1.9774011299435124</v>
      </c>
      <c r="F146" s="166">
        <f t="shared" si="32"/>
        <v>1.9774011299435124</v>
      </c>
      <c r="G146" s="179">
        <f t="shared" si="33"/>
        <v>2.6297085998578718</v>
      </c>
      <c r="H146" s="174">
        <f>$B$211/B146</f>
        <v>1.2112188365650967</v>
      </c>
    </row>
    <row r="147" spans="1:8" ht="16.5" customHeight="1">
      <c r="A147" s="163" t="s">
        <v>253</v>
      </c>
      <c r="B147" s="180">
        <f>[2]geral!I121</f>
        <v>20.628571428571433</v>
      </c>
      <c r="C147" s="165">
        <f t="shared" si="29"/>
        <v>222.53043612266916</v>
      </c>
      <c r="D147" s="166">
        <f t="shared" si="30"/>
        <v>0</v>
      </c>
      <c r="E147" s="166">
        <f t="shared" si="31"/>
        <v>1.9774011299435124</v>
      </c>
      <c r="F147" s="166">
        <f t="shared" si="32"/>
        <v>1.9774011299435124</v>
      </c>
      <c r="G147" s="179">
        <f t="shared" si="33"/>
        <v>2.3387668320340227</v>
      </c>
      <c r="H147" s="174">
        <f>$B$211/B147</f>
        <v>1.2112188365650967</v>
      </c>
    </row>
    <row r="148" spans="1:8" ht="16.5" customHeight="1">
      <c r="A148" s="163" t="s">
        <v>254</v>
      </c>
      <c r="B148" s="180">
        <f>[2]geral!I122</f>
        <v>20.628571428571433</v>
      </c>
      <c r="C148" s="165">
        <f t="shared" si="29"/>
        <v>222.53043612266916</v>
      </c>
      <c r="D148" s="166">
        <f t="shared" si="30"/>
        <v>0</v>
      </c>
      <c r="E148" s="166">
        <f t="shared" si="31"/>
        <v>1.9774011299435124</v>
      </c>
      <c r="F148" s="166">
        <f t="shared" si="32"/>
        <v>1.9774011299435124</v>
      </c>
      <c r="G148" s="179">
        <f t="shared" si="33"/>
        <v>2.3387668320340227</v>
      </c>
      <c r="H148" s="174">
        <f>$B$211/B148</f>
        <v>1.2112188365650967</v>
      </c>
    </row>
    <row r="149" spans="1:8" ht="16.5" customHeight="1">
      <c r="A149" s="163" t="s">
        <v>255</v>
      </c>
      <c r="B149" s="180">
        <f>[2]geral!I123</f>
        <v>20.628571428571433</v>
      </c>
      <c r="C149" s="165">
        <f t="shared" ref="C149:C155" si="34">100*B149/$B$8</f>
        <v>222.53043612266916</v>
      </c>
      <c r="D149" s="166">
        <f t="shared" ref="D149:D154" si="35">100*((B149/B148)-1)</f>
        <v>0</v>
      </c>
      <c r="E149" s="166">
        <f t="shared" ref="E149:E154" si="36">100*((B149/$B$142)-1)</f>
        <v>1.9774011299435124</v>
      </c>
      <c r="F149" s="166">
        <f t="shared" ref="F149:F154" si="37">100*((B149/B137)-1)</f>
        <v>1.9774011299435124</v>
      </c>
      <c r="G149" s="179">
        <f t="shared" ref="G149:G154" si="38">100*(B149/B125-1)</f>
        <v>3.069236259814434</v>
      </c>
      <c r="H149" s="174">
        <f>$B$211/B149</f>
        <v>1.2112188365650967</v>
      </c>
    </row>
    <row r="150" spans="1:8" ht="16.5" customHeight="1">
      <c r="A150" s="163" t="str">
        <f>+Arla_32!A49</f>
        <v>AGOSTO|15</v>
      </c>
      <c r="B150" s="180">
        <f>[2]geral!I124</f>
        <v>20.75714285714286</v>
      </c>
      <c r="C150" s="165">
        <f t="shared" si="34"/>
        <v>223.91739867468024</v>
      </c>
      <c r="D150" s="166">
        <f t="shared" si="35"/>
        <v>0.62326869806093033</v>
      </c>
      <c r="E150" s="166">
        <f t="shared" si="36"/>
        <v>2.6129943502824826</v>
      </c>
      <c r="F150" s="166">
        <f t="shared" si="37"/>
        <v>2.6129943502824826</v>
      </c>
      <c r="G150" s="179">
        <f t="shared" si="38"/>
        <v>3.7116345467523182</v>
      </c>
      <c r="H150" s="174">
        <f>$B$211/B150</f>
        <v>1.2037164487267722</v>
      </c>
    </row>
    <row r="151" spans="1:8" ht="16.5" customHeight="1">
      <c r="A151" s="163" t="str">
        <f>+Arla_32!A50</f>
        <v>SETEMBRO|15</v>
      </c>
      <c r="B151" s="180">
        <f>[2]geral!I125</f>
        <v>20.75714285714286</v>
      </c>
      <c r="C151" s="165">
        <f t="shared" si="34"/>
        <v>223.91739867468024</v>
      </c>
      <c r="D151" s="166">
        <f t="shared" si="35"/>
        <v>0</v>
      </c>
      <c r="E151" s="166">
        <f t="shared" si="36"/>
        <v>2.6129943502824826</v>
      </c>
      <c r="F151" s="166">
        <f t="shared" si="37"/>
        <v>2.6129943502824826</v>
      </c>
      <c r="G151" s="179">
        <f t="shared" si="38"/>
        <v>3.7116345467523182</v>
      </c>
      <c r="H151" s="174">
        <f>$B$211/B151</f>
        <v>1.2037164487267722</v>
      </c>
    </row>
    <row r="152" spans="1:8" ht="16.5" customHeight="1">
      <c r="A152" s="163" t="str">
        <f>+Arla_32!A51</f>
        <v>OUTUBRO|15</v>
      </c>
      <c r="B152" s="180">
        <f>[2]geral!I126</f>
        <v>20.75714285714286</v>
      </c>
      <c r="C152" s="165">
        <f t="shared" si="34"/>
        <v>223.91739867468024</v>
      </c>
      <c r="D152" s="166">
        <f t="shared" si="35"/>
        <v>0</v>
      </c>
      <c r="E152" s="166">
        <f t="shared" si="36"/>
        <v>2.6129943502824826</v>
      </c>
      <c r="F152" s="166">
        <f t="shared" si="37"/>
        <v>2.6129943502824826</v>
      </c>
      <c r="G152" s="179">
        <f t="shared" si="38"/>
        <v>3.7116345467523182</v>
      </c>
      <c r="H152" s="174">
        <f>$B$211/B152</f>
        <v>1.2037164487267722</v>
      </c>
    </row>
    <row r="153" spans="1:8" ht="16.5" customHeight="1">
      <c r="A153" s="163" t="str">
        <f>+Arla_32!A52</f>
        <v>NOVEMBRO|15</v>
      </c>
      <c r="B153" s="180">
        <f>[2]geral!I127</f>
        <v>20.75714285714286</v>
      </c>
      <c r="C153" s="165">
        <f t="shared" si="34"/>
        <v>223.91739867468024</v>
      </c>
      <c r="D153" s="166">
        <f t="shared" si="35"/>
        <v>0</v>
      </c>
      <c r="E153" s="166">
        <f t="shared" si="36"/>
        <v>2.6129943502824826</v>
      </c>
      <c r="F153" s="166">
        <f t="shared" si="37"/>
        <v>2.6129943502824826</v>
      </c>
      <c r="G153" s="179">
        <f t="shared" si="38"/>
        <v>3.7116345467523182</v>
      </c>
      <c r="H153" s="174">
        <f>$B$211/B153</f>
        <v>1.2037164487267722</v>
      </c>
    </row>
    <row r="154" spans="1:8" ht="16.5" customHeight="1">
      <c r="A154" s="163" t="str">
        <f>+Arla_32!A53</f>
        <v>DEZEMBRO|15</v>
      </c>
      <c r="B154" s="180">
        <f>[2]geral!I128</f>
        <v>20.75714285714286</v>
      </c>
      <c r="C154" s="165">
        <f t="shared" si="34"/>
        <v>223.91739867468024</v>
      </c>
      <c r="D154" s="166">
        <f t="shared" si="35"/>
        <v>0</v>
      </c>
      <c r="E154" s="166">
        <f t="shared" si="36"/>
        <v>2.6129943502824826</v>
      </c>
      <c r="F154" s="166">
        <f t="shared" si="37"/>
        <v>2.6129943502824826</v>
      </c>
      <c r="G154" s="179">
        <f t="shared" si="38"/>
        <v>2.6129943502824826</v>
      </c>
      <c r="H154" s="174">
        <f>$B$211/B154</f>
        <v>1.2037164487267722</v>
      </c>
    </row>
    <row r="155" spans="1:8" ht="16.5" customHeight="1">
      <c r="A155" s="163" t="str">
        <f>+Arla_32!A54</f>
        <v>JANEIRO|16</v>
      </c>
      <c r="B155" s="180">
        <f>[2]geral!K117</f>
        <v>20.75714285714286</v>
      </c>
      <c r="C155" s="165">
        <f t="shared" si="34"/>
        <v>223.91739867468024</v>
      </c>
      <c r="D155" s="166">
        <f t="shared" ref="D155:D160" si="39">100*((B155/B154)-1)</f>
        <v>0</v>
      </c>
      <c r="E155" s="166">
        <f t="shared" ref="E155:E160" si="40">100*((B155/$B$154)-1)</f>
        <v>0</v>
      </c>
      <c r="F155" s="166">
        <f t="shared" ref="F155:F160" si="41">100*((B155/B143)-1)</f>
        <v>0.7628294036061023</v>
      </c>
      <c r="G155" s="179">
        <f t="shared" ref="G155:G160" si="42">100*(B155/B131-1)</f>
        <v>2.6129943502824826</v>
      </c>
      <c r="H155" s="174">
        <f>$B$211/B155</f>
        <v>1.2037164487267722</v>
      </c>
    </row>
    <row r="156" spans="1:8" ht="16.5" customHeight="1">
      <c r="A156" s="163" t="str">
        <f>+Arla_32!A55</f>
        <v>FEVEREIRO|16</v>
      </c>
      <c r="B156" s="180">
        <f>[2]geral!K118</f>
        <v>20.75714285714286</v>
      </c>
      <c r="C156" s="165">
        <f t="shared" ref="C156:C161" si="43">100*B156/$B$8</f>
        <v>223.91739867468024</v>
      </c>
      <c r="D156" s="166">
        <f t="shared" si="39"/>
        <v>0</v>
      </c>
      <c r="E156" s="166">
        <f t="shared" si="40"/>
        <v>0</v>
      </c>
      <c r="F156" s="166">
        <f t="shared" si="41"/>
        <v>0.62326869806093033</v>
      </c>
      <c r="G156" s="179">
        <f t="shared" si="42"/>
        <v>2.6129943502824826</v>
      </c>
      <c r="H156" s="174">
        <f>$B$211/B156</f>
        <v>1.2037164487267722</v>
      </c>
    </row>
    <row r="157" spans="1:8" ht="16.5" customHeight="1">
      <c r="A157" s="163" t="str">
        <f>+Arla_32!A56</f>
        <v>MARÇO|16</v>
      </c>
      <c r="B157" s="180">
        <f>[2]geral!K119</f>
        <v>20.75714285714286</v>
      </c>
      <c r="C157" s="165">
        <f t="shared" si="43"/>
        <v>223.91739867468024</v>
      </c>
      <c r="D157" s="166">
        <f t="shared" si="39"/>
        <v>0</v>
      </c>
      <c r="E157" s="166">
        <f t="shared" si="40"/>
        <v>0</v>
      </c>
      <c r="F157" s="166">
        <f t="shared" si="41"/>
        <v>0.62326869806093033</v>
      </c>
      <c r="G157" s="179">
        <f t="shared" si="42"/>
        <v>2.6129943502824826</v>
      </c>
      <c r="H157" s="174">
        <f>$B$211/B157</f>
        <v>1.2037164487267722</v>
      </c>
    </row>
    <row r="158" spans="1:8" ht="16.5" customHeight="1">
      <c r="A158" s="163" t="str">
        <f>+Arla_32!A57</f>
        <v>ABRIL|16</v>
      </c>
      <c r="B158" s="180">
        <f>[2]geral!K120</f>
        <v>21.142857142857146</v>
      </c>
      <c r="C158" s="165">
        <f t="shared" si="43"/>
        <v>228.07828633071358</v>
      </c>
      <c r="D158" s="166">
        <f t="shared" si="39"/>
        <v>1.8582243633860962</v>
      </c>
      <c r="E158" s="166">
        <f t="shared" si="40"/>
        <v>1.8582243633860962</v>
      </c>
      <c r="F158" s="166">
        <f t="shared" si="41"/>
        <v>2.4930747922437657</v>
      </c>
      <c r="G158" s="179">
        <f t="shared" si="42"/>
        <v>4.5197740112994378</v>
      </c>
      <c r="H158" s="174">
        <f>$B$211/B158</f>
        <v>1.1817567567567566</v>
      </c>
    </row>
    <row r="159" spans="1:8" ht="16.5" customHeight="1">
      <c r="A159" s="163" t="str">
        <f>+Arla_32!A58</f>
        <v>MAIO|16</v>
      </c>
      <c r="B159" s="180">
        <f>[2]geral!K121</f>
        <v>21.142857142857146</v>
      </c>
      <c r="C159" s="165">
        <f t="shared" si="43"/>
        <v>228.07828633071358</v>
      </c>
      <c r="D159" s="166">
        <f t="shared" si="39"/>
        <v>0</v>
      </c>
      <c r="E159" s="166">
        <f t="shared" si="40"/>
        <v>1.8582243633860962</v>
      </c>
      <c r="F159" s="166">
        <f t="shared" si="41"/>
        <v>2.4930747922437657</v>
      </c>
      <c r="G159" s="179">
        <f t="shared" si="42"/>
        <v>4.5197740112994378</v>
      </c>
      <c r="H159" s="174">
        <f>$B$211/B159</f>
        <v>1.1817567567567566</v>
      </c>
    </row>
    <row r="160" spans="1:8" ht="16.5" customHeight="1">
      <c r="A160" s="163" t="str">
        <f>+Arla_32!A59</f>
        <v>JUNHO|16</v>
      </c>
      <c r="B160" s="180">
        <f>[2]geral!K122</f>
        <v>21.142857142857146</v>
      </c>
      <c r="C160" s="165">
        <f t="shared" si="43"/>
        <v>228.07828633071358</v>
      </c>
      <c r="D160" s="166">
        <f t="shared" si="39"/>
        <v>0</v>
      </c>
      <c r="E160" s="166">
        <f t="shared" si="40"/>
        <v>1.8582243633860962</v>
      </c>
      <c r="F160" s="166">
        <f t="shared" si="41"/>
        <v>2.4930747922437657</v>
      </c>
      <c r="G160" s="179">
        <f t="shared" si="42"/>
        <v>4.5197740112994378</v>
      </c>
      <c r="H160" s="174">
        <f>$B$211/B160</f>
        <v>1.1817567567567566</v>
      </c>
    </row>
    <row r="161" spans="1:8" ht="16.5" customHeight="1">
      <c r="A161" s="163" t="str">
        <f>+Arla_32!A60</f>
        <v>JULHO|16</v>
      </c>
      <c r="B161" s="180">
        <f>[2]geral!K123</f>
        <v>21.142857142857146</v>
      </c>
      <c r="C161" s="165">
        <f t="shared" si="43"/>
        <v>228.07828633071358</v>
      </c>
      <c r="D161" s="166">
        <f t="shared" ref="D161" si="44">100*((B161/B160)-1)</f>
        <v>0</v>
      </c>
      <c r="E161" s="166">
        <f t="shared" ref="E161" si="45">100*((B161/$B$154)-1)</f>
        <v>1.8582243633860962</v>
      </c>
      <c r="F161" s="166">
        <f t="shared" ref="F161" si="46">100*((B161/B149)-1)</f>
        <v>2.4930747922437657</v>
      </c>
      <c r="G161" s="179">
        <f t="shared" ref="G161" si="47">100*(B161/B137-1)</f>
        <v>4.5197740112994378</v>
      </c>
      <c r="H161" s="174">
        <f>$B$211/B161</f>
        <v>1.1817567567567566</v>
      </c>
    </row>
    <row r="162" spans="1:8" ht="16.5" customHeight="1">
      <c r="A162" s="163" t="str">
        <f>+Arla_32!A61</f>
        <v>AGOSTO|16</v>
      </c>
      <c r="B162" s="180">
        <f>[2]geral!K124</f>
        <v>21.142857142857146</v>
      </c>
      <c r="C162" s="165">
        <f t="shared" ref="C162" si="48">100*B162/$B$8</f>
        <v>228.07828633071358</v>
      </c>
      <c r="D162" s="166">
        <f t="shared" ref="D162" si="49">100*((B162/B161)-1)</f>
        <v>0</v>
      </c>
      <c r="E162" s="166">
        <f t="shared" ref="E162" si="50">100*((B162/$B$154)-1)</f>
        <v>1.8582243633860962</v>
      </c>
      <c r="F162" s="166">
        <f t="shared" ref="F162" si="51">100*((B162/B150)-1)</f>
        <v>1.8582243633860962</v>
      </c>
      <c r="G162" s="179">
        <f t="shared" ref="G162" si="52">100*(B162/B138-1)</f>
        <v>4.5197740112994378</v>
      </c>
      <c r="H162" s="174">
        <f>$B$211/B162</f>
        <v>1.1817567567567566</v>
      </c>
    </row>
    <row r="163" spans="1:8" ht="16.5" customHeight="1">
      <c r="A163" s="163" t="str">
        <f>+Arla_32!A62</f>
        <v>SETEMBRO|16</v>
      </c>
      <c r="B163" s="180">
        <f>[2]geral!K125</f>
        <v>21.142857142857146</v>
      </c>
      <c r="C163" s="165">
        <f t="shared" ref="C163" si="53">100*B163/$B$8</f>
        <v>228.07828633071358</v>
      </c>
      <c r="D163" s="166">
        <f t="shared" ref="D163" si="54">100*((B163/B162)-1)</f>
        <v>0</v>
      </c>
      <c r="E163" s="166">
        <f t="shared" ref="E163" si="55">100*((B163/$B$154)-1)</f>
        <v>1.8582243633860962</v>
      </c>
      <c r="F163" s="166">
        <f t="shared" ref="F163" si="56">100*((B163/B151)-1)</f>
        <v>1.8582243633860962</v>
      </c>
      <c r="G163" s="179">
        <f t="shared" ref="G163" si="57">100*(B163/B139-1)</f>
        <v>4.5197740112994378</v>
      </c>
      <c r="H163" s="174">
        <f>$B$211/B163</f>
        <v>1.1817567567567566</v>
      </c>
    </row>
    <row r="164" spans="1:8" ht="16.5" customHeight="1">
      <c r="A164" s="163" t="str">
        <f>+Arla_32!A63</f>
        <v>OUTUBRO|16</v>
      </c>
      <c r="B164" s="180">
        <f>[2]geral!K126</f>
        <v>21.142857142857146</v>
      </c>
      <c r="C164" s="165">
        <f t="shared" ref="C164" si="58">100*B164/$B$8</f>
        <v>228.07828633071358</v>
      </c>
      <c r="D164" s="166">
        <f t="shared" ref="D164" si="59">100*((B164/B163)-1)</f>
        <v>0</v>
      </c>
      <c r="E164" s="166">
        <f t="shared" ref="E164" si="60">100*((B164/$B$154)-1)</f>
        <v>1.8582243633860962</v>
      </c>
      <c r="F164" s="166">
        <f t="shared" ref="F164" si="61">100*((B164/B152)-1)</f>
        <v>1.8582243633860962</v>
      </c>
      <c r="G164" s="179">
        <f t="shared" ref="G164" si="62">100*(B164/B140-1)</f>
        <v>4.5197740112994378</v>
      </c>
      <c r="H164" s="174">
        <f>$B$211/B164</f>
        <v>1.1817567567567566</v>
      </c>
    </row>
    <row r="165" spans="1:8" ht="16.5" customHeight="1">
      <c r="A165" s="163" t="str">
        <f>+Arla_32!A64</f>
        <v>NOVEMBRO|16</v>
      </c>
      <c r="B165" s="180">
        <f>[2]geral!K127</f>
        <v>21.142857142857146</v>
      </c>
      <c r="C165" s="165">
        <f t="shared" ref="C165" si="63">100*B165/$B$8</f>
        <v>228.07828633071358</v>
      </c>
      <c r="D165" s="166">
        <f t="shared" ref="D165" si="64">100*((B165/B164)-1)</f>
        <v>0</v>
      </c>
      <c r="E165" s="166">
        <f t="shared" ref="E165" si="65">100*((B165/$B$154)-1)</f>
        <v>1.8582243633860962</v>
      </c>
      <c r="F165" s="166">
        <f t="shared" ref="F165" si="66">100*((B165/B153)-1)</f>
        <v>1.8582243633860962</v>
      </c>
      <c r="G165" s="179">
        <f t="shared" ref="G165" si="67">100*(B165/B141-1)</f>
        <v>4.5197740112994378</v>
      </c>
      <c r="H165" s="174">
        <f>$B$211/B165</f>
        <v>1.1817567567567566</v>
      </c>
    </row>
    <row r="166" spans="1:8" ht="16.5" customHeight="1">
      <c r="A166" s="163" t="str">
        <f>+Arla_32!A65</f>
        <v>DEZEMBRO|16</v>
      </c>
      <c r="B166" s="180">
        <f>[2]geral!K128</f>
        <v>21.142857142857146</v>
      </c>
      <c r="C166" s="165">
        <f t="shared" ref="C166" si="68">100*B166/$B$8</f>
        <v>228.07828633071358</v>
      </c>
      <c r="D166" s="166">
        <f t="shared" ref="D166" si="69">100*((B166/B165)-1)</f>
        <v>0</v>
      </c>
      <c r="E166" s="166">
        <f t="shared" ref="E166" si="70">100*((B166/$B$154)-1)</f>
        <v>1.8582243633860962</v>
      </c>
      <c r="F166" s="166">
        <f t="shared" ref="F166" si="71">100*((B166/B154)-1)</f>
        <v>1.8582243633860962</v>
      </c>
      <c r="G166" s="179">
        <f t="shared" ref="G166" si="72">100*(B166/B142-1)</f>
        <v>4.5197740112994378</v>
      </c>
      <c r="H166" s="174">
        <f>$B$211/B166</f>
        <v>1.1817567567567566</v>
      </c>
    </row>
    <row r="167" spans="1:8" ht="16.5" customHeight="1">
      <c r="A167" s="163" t="str">
        <f>+Arla_32!A66</f>
        <v>JANEIRO|17</v>
      </c>
      <c r="B167" s="180">
        <f>[2]geral!M117</f>
        <v>21.142857142857146</v>
      </c>
      <c r="C167" s="165">
        <f t="shared" ref="C167" si="73">100*B167/$B$8</f>
        <v>228.07828633071358</v>
      </c>
      <c r="D167" s="166">
        <f t="shared" ref="D167" si="74">100*((B167/B166)-1)</f>
        <v>0</v>
      </c>
      <c r="E167" s="166">
        <f t="shared" ref="E167:E172" si="75">100*((B167/$B$166)-1)</f>
        <v>0</v>
      </c>
      <c r="F167" s="166">
        <f t="shared" ref="F167" si="76">100*((B167/B155)-1)</f>
        <v>1.8582243633860962</v>
      </c>
      <c r="G167" s="179">
        <f t="shared" ref="G167" si="77">100*(B167/B143-1)</f>
        <v>2.6352288488210807</v>
      </c>
      <c r="H167" s="174">
        <f>$B$211/B167</f>
        <v>1.1817567567567566</v>
      </c>
    </row>
    <row r="168" spans="1:8" ht="16.5" customHeight="1">
      <c r="A168" s="163" t="str">
        <f>+Arla_32!A67</f>
        <v>FEVEREIRO|17</v>
      </c>
      <c r="B168" s="180">
        <f>[2]geral!M118</f>
        <v>21.142857142857146</v>
      </c>
      <c r="C168" s="165">
        <f t="shared" ref="C168" si="78">100*B168/$B$8</f>
        <v>228.07828633071358</v>
      </c>
      <c r="D168" s="166">
        <f t="shared" ref="D168" si="79">100*((B168/B167)-1)</f>
        <v>0</v>
      </c>
      <c r="E168" s="166">
        <f t="shared" si="75"/>
        <v>0</v>
      </c>
      <c r="F168" s="166">
        <f t="shared" ref="F168" si="80">100*((B168/B156)-1)</f>
        <v>1.8582243633860962</v>
      </c>
      <c r="G168" s="179">
        <f t="shared" ref="G168" si="81">100*(B168/B144-1)</f>
        <v>2.4930747922437657</v>
      </c>
      <c r="H168" s="174">
        <f>$B$211/B168</f>
        <v>1.1817567567567566</v>
      </c>
    </row>
    <row r="169" spans="1:8" ht="16.5" customHeight="1">
      <c r="A169" s="163" t="str">
        <f>+Arla_32!A68</f>
        <v>MARÇO|17</v>
      </c>
      <c r="B169" s="180">
        <f>[2]geral!M119</f>
        <v>21.485714285714288</v>
      </c>
      <c r="C169" s="165">
        <f t="shared" ref="C169" si="82">100*B169/$B$8</f>
        <v>231.77685313607648</v>
      </c>
      <c r="D169" s="166">
        <f t="shared" ref="D169" si="83">100*((B169/B168)-1)</f>
        <v>1.6216216216216051</v>
      </c>
      <c r="E169" s="166">
        <f t="shared" si="75"/>
        <v>1.6216216216216051</v>
      </c>
      <c r="F169" s="166">
        <f t="shared" ref="F169" si="84">100*((B169/B157)-1)</f>
        <v>3.5099793530626311</v>
      </c>
      <c r="G169" s="179">
        <f t="shared" ref="G169" si="85">100*(B169/B145-1)</f>
        <v>4.1551246537395947</v>
      </c>
      <c r="H169" s="174">
        <f>$B$211/B169</f>
        <v>1.1628989361702127</v>
      </c>
    </row>
    <row r="170" spans="1:8" ht="16.5" customHeight="1">
      <c r="A170" s="163" t="str">
        <f>+Arla_32!A69</f>
        <v>ABRIL|17</v>
      </c>
      <c r="B170" s="180">
        <f>[2]geral!M120</f>
        <v>21.485714285714288</v>
      </c>
      <c r="C170" s="165">
        <f t="shared" ref="C170" si="86">100*B170/$B$8</f>
        <v>231.77685313607648</v>
      </c>
      <c r="D170" s="166">
        <f t="shared" ref="D170" si="87">100*((B170/B169)-1)</f>
        <v>0</v>
      </c>
      <c r="E170" s="166">
        <f t="shared" si="75"/>
        <v>1.6216216216216051</v>
      </c>
      <c r="F170" s="166">
        <f t="shared" ref="F170" si="88">100*((B170/B158)-1)</f>
        <v>1.6216216216216051</v>
      </c>
      <c r="G170" s="179">
        <f t="shared" ref="G170" si="89">100*(B170/B146-1)</f>
        <v>4.1551246537395947</v>
      </c>
      <c r="H170" s="174">
        <f>$B$211/B170</f>
        <v>1.1628989361702127</v>
      </c>
    </row>
    <row r="171" spans="1:8" ht="16.5" customHeight="1">
      <c r="A171" s="163" t="str">
        <f>+Arla_32!A70</f>
        <v>MAIO|17</v>
      </c>
      <c r="B171" s="180">
        <f>[2]geral!M121</f>
        <v>21.485714285714288</v>
      </c>
      <c r="C171" s="165">
        <f t="shared" ref="C171" si="90">100*B171/$B$8</f>
        <v>231.77685313607648</v>
      </c>
      <c r="D171" s="166">
        <f t="shared" ref="D171" si="91">100*((B171/B170)-1)</f>
        <v>0</v>
      </c>
      <c r="E171" s="166">
        <f t="shared" si="75"/>
        <v>1.6216216216216051</v>
      </c>
      <c r="F171" s="166">
        <f t="shared" ref="F171" si="92">100*((B171/B159)-1)</f>
        <v>1.6216216216216051</v>
      </c>
      <c r="G171" s="179">
        <f t="shared" ref="G171" si="93">100*(B171/B147-1)</f>
        <v>4.1551246537395947</v>
      </c>
      <c r="H171" s="174">
        <f>$B$211/B171</f>
        <v>1.1628989361702127</v>
      </c>
    </row>
    <row r="172" spans="1:8" ht="16.5" customHeight="1">
      <c r="A172" s="163" t="str">
        <f>+Arla_32!A71</f>
        <v>JUNHO|17</v>
      </c>
      <c r="B172" s="180">
        <f>[2]geral!M122</f>
        <v>21.485714285714288</v>
      </c>
      <c r="C172" s="165">
        <f t="shared" ref="C172" si="94">100*B172/$B$8</f>
        <v>231.77685313607648</v>
      </c>
      <c r="D172" s="166">
        <f t="shared" ref="D172" si="95">100*((B172/B171)-1)</f>
        <v>0</v>
      </c>
      <c r="E172" s="166">
        <f t="shared" si="75"/>
        <v>1.6216216216216051</v>
      </c>
      <c r="F172" s="166">
        <f t="shared" ref="F172" si="96">100*((B172/B160)-1)</f>
        <v>1.6216216216216051</v>
      </c>
      <c r="G172" s="179">
        <f t="shared" ref="G172" si="97">100*(B172/B148-1)</f>
        <v>4.1551246537395947</v>
      </c>
      <c r="H172" s="174">
        <f>$B$211/B172</f>
        <v>1.1628989361702127</v>
      </c>
    </row>
    <row r="173" spans="1:8" ht="16.5" customHeight="1">
      <c r="A173" s="163" t="str">
        <f>+Arla_32!A72</f>
        <v>JULHO|17</v>
      </c>
      <c r="B173" s="180">
        <f>[2]geral!M123</f>
        <v>21.485714285714288</v>
      </c>
      <c r="C173" s="165">
        <f t="shared" ref="C173" si="98">100*B173/$B$8</f>
        <v>231.77685313607648</v>
      </c>
      <c r="D173" s="166">
        <f t="shared" ref="D173" si="99">100*((B173/B172)-1)</f>
        <v>0</v>
      </c>
      <c r="E173" s="166">
        <f t="shared" ref="E173" si="100">100*((B173/$B$166)-1)</f>
        <v>1.6216216216216051</v>
      </c>
      <c r="F173" s="166">
        <f t="shared" ref="F173" si="101">100*((B173/B161)-1)</f>
        <v>1.6216216216216051</v>
      </c>
      <c r="G173" s="179">
        <f t="shared" ref="G173" si="102">100*(B173/B149-1)</f>
        <v>4.1551246537395947</v>
      </c>
      <c r="H173" s="174">
        <f>$B$211/B173</f>
        <v>1.1628989361702127</v>
      </c>
    </row>
    <row r="174" spans="1:8" ht="16.5" customHeight="1">
      <c r="A174" s="163" t="str">
        <f>+Arla_32!A73</f>
        <v>AGOSTO|17</v>
      </c>
      <c r="B174" s="180">
        <f>[2]geral!M124</f>
        <v>21.485714285714288</v>
      </c>
      <c r="C174" s="165">
        <f t="shared" ref="C174" si="103">100*B174/$B$8</f>
        <v>231.77685313607648</v>
      </c>
      <c r="D174" s="166">
        <f t="shared" ref="D174" si="104">100*((B174/B173)-1)</f>
        <v>0</v>
      </c>
      <c r="E174" s="166">
        <f t="shared" ref="E174" si="105">100*((B174/$B$166)-1)</f>
        <v>1.6216216216216051</v>
      </c>
      <c r="F174" s="166">
        <f t="shared" ref="F174" si="106">100*((B174/B162)-1)</f>
        <v>1.6216216216216051</v>
      </c>
      <c r="G174" s="179">
        <f t="shared" ref="G174" si="107">100*(B174/B150-1)</f>
        <v>3.5099793530626311</v>
      </c>
      <c r="H174" s="174">
        <f>$B$211/B174</f>
        <v>1.1628989361702127</v>
      </c>
    </row>
    <row r="175" spans="1:8" ht="16.5" customHeight="1">
      <c r="A175" s="163" t="str">
        <f>+Arla_32!A74</f>
        <v>SETEMBRO|17</v>
      </c>
      <c r="B175" s="180">
        <f>[2]geral!M125</f>
        <v>21.485714285714288</v>
      </c>
      <c r="C175" s="165">
        <f t="shared" ref="C175" si="108">100*B175/$B$8</f>
        <v>231.77685313607648</v>
      </c>
      <c r="D175" s="166">
        <f t="shared" ref="D175" si="109">100*((B175/B174)-1)</f>
        <v>0</v>
      </c>
      <c r="E175" s="166">
        <f t="shared" ref="E175" si="110">100*((B175/$B$166)-1)</f>
        <v>1.6216216216216051</v>
      </c>
      <c r="F175" s="166">
        <f t="shared" ref="F175" si="111">100*((B175/B163)-1)</f>
        <v>1.6216216216216051</v>
      </c>
      <c r="G175" s="179">
        <f t="shared" ref="G175" si="112">100*(B175/B151-1)</f>
        <v>3.5099793530626311</v>
      </c>
      <c r="H175" s="174">
        <f>$B$211/B175</f>
        <v>1.1628989361702127</v>
      </c>
    </row>
    <row r="176" spans="1:8" ht="16.5" customHeight="1">
      <c r="A176" s="163" t="str">
        <f>+Arla_32!A75</f>
        <v>OUTUBRO|17</v>
      </c>
      <c r="B176" s="180">
        <f>[2]geral!M126</f>
        <v>21.485714285714288</v>
      </c>
      <c r="C176" s="165">
        <f t="shared" ref="C176" si="113">100*B176/$B$8</f>
        <v>231.77685313607648</v>
      </c>
      <c r="D176" s="166">
        <f t="shared" ref="D176" si="114">100*((B176/B175)-1)</f>
        <v>0</v>
      </c>
      <c r="E176" s="166">
        <f t="shared" ref="E176" si="115">100*((B176/$B$166)-1)</f>
        <v>1.6216216216216051</v>
      </c>
      <c r="F176" s="166">
        <f t="shared" ref="F176" si="116">100*((B176/B164)-1)</f>
        <v>1.6216216216216051</v>
      </c>
      <c r="G176" s="179">
        <f t="shared" ref="G176" si="117">100*(B176/B152-1)</f>
        <v>3.5099793530626311</v>
      </c>
      <c r="H176" s="174">
        <f>$B$211/B176</f>
        <v>1.1628989361702127</v>
      </c>
    </row>
    <row r="177" spans="1:8" ht="16.5" customHeight="1">
      <c r="A177" s="163" t="str">
        <f>+Arla_32!A76</f>
        <v>NOVEMBRO|17</v>
      </c>
      <c r="B177" s="180">
        <f>[2]geral!M127</f>
        <v>22.157142857142862</v>
      </c>
      <c r="C177" s="165">
        <f t="shared" ref="C177" si="118">100*B177/$B$8</f>
        <v>239.01987979657889</v>
      </c>
      <c r="D177" s="166">
        <f t="shared" ref="D177" si="119">100*((B177/B176)-1)</f>
        <v>3.1250000000000222</v>
      </c>
      <c r="E177" s="166">
        <f t="shared" ref="E177" si="120">100*((B177/$B$166)-1)</f>
        <v>4.7972972972972983</v>
      </c>
      <c r="F177" s="166">
        <f t="shared" ref="F177" si="121">100*((B177/B165)-1)</f>
        <v>4.7972972972972983</v>
      </c>
      <c r="G177" s="179">
        <f t="shared" ref="G177" si="122">100*(B177/B153-1)</f>
        <v>6.7446662078458397</v>
      </c>
      <c r="H177" s="174">
        <f>$B$211/B177</f>
        <v>1.1276595744680848</v>
      </c>
    </row>
    <row r="178" spans="1:8" ht="16.5" customHeight="1">
      <c r="A178" s="163" t="str">
        <f>+Arla_32!A77</f>
        <v>DEZEMBRO|17</v>
      </c>
      <c r="B178" s="180">
        <f>[2]geral!M128</f>
        <v>22.157142857142862</v>
      </c>
      <c r="C178" s="165">
        <f t="shared" ref="C178" si="123">100*B178/$B$8</f>
        <v>239.01987979657889</v>
      </c>
      <c r="D178" s="166">
        <f t="shared" ref="D178" si="124">100*((B178/B177)-1)</f>
        <v>0</v>
      </c>
      <c r="E178" s="166">
        <f t="shared" ref="E178" si="125">100*((B178/$B$166)-1)</f>
        <v>4.7972972972972983</v>
      </c>
      <c r="F178" s="166">
        <f t="shared" ref="F178" si="126">100*((B178/B166)-1)</f>
        <v>4.7972972972972983</v>
      </c>
      <c r="G178" s="179">
        <f t="shared" ref="G178" si="127">100*(B178/B154-1)</f>
        <v>6.7446662078458397</v>
      </c>
      <c r="H178" s="174">
        <f>$B$211/B178</f>
        <v>1.1276595744680848</v>
      </c>
    </row>
    <row r="179" spans="1:8" ht="16.5" customHeight="1">
      <c r="A179" s="163" t="str">
        <f>+Arla_32!A78</f>
        <v>JANEIRO|18</v>
      </c>
      <c r="B179" s="180">
        <f>[2]geral!O117</f>
        <v>22.157142857142862</v>
      </c>
      <c r="C179" s="165">
        <f t="shared" ref="C179" si="128">100*B179/$B$8</f>
        <v>239.01987979657889</v>
      </c>
      <c r="D179" s="166">
        <f t="shared" ref="D179" si="129">100*((B179/B178)-1)</f>
        <v>0</v>
      </c>
      <c r="E179" s="166">
        <f t="shared" ref="E179:E184" si="130">100*((B179/$B$178)-1)</f>
        <v>0</v>
      </c>
      <c r="F179" s="166">
        <f t="shared" ref="F179" si="131">100*((B179/B167)-1)</f>
        <v>4.7972972972972983</v>
      </c>
      <c r="G179" s="179">
        <f t="shared" ref="G179" si="132">100*(B179/B155-1)</f>
        <v>6.7446662078458397</v>
      </c>
      <c r="H179" s="174">
        <f>$B$211/B179</f>
        <v>1.1276595744680848</v>
      </c>
    </row>
    <row r="180" spans="1:8" ht="16.5" customHeight="1">
      <c r="A180" s="163" t="str">
        <f>+Arla_32!A79</f>
        <v>FEVEREIRO|18</v>
      </c>
      <c r="B180" s="180">
        <f>[2]geral!O118</f>
        <v>22.157142857142862</v>
      </c>
      <c r="C180" s="165">
        <f t="shared" ref="C180" si="133">100*B180/$B$8</f>
        <v>239.01987979657889</v>
      </c>
      <c r="D180" s="166">
        <f t="shared" ref="D180" si="134">100*((B180/B179)-1)</f>
        <v>0</v>
      </c>
      <c r="E180" s="166">
        <f t="shared" si="130"/>
        <v>0</v>
      </c>
      <c r="F180" s="166">
        <f t="shared" ref="F180" si="135">100*((B180/B168)-1)</f>
        <v>4.7972972972972983</v>
      </c>
      <c r="G180" s="179">
        <f t="shared" ref="G180" si="136">100*(B180/B156-1)</f>
        <v>6.7446662078458397</v>
      </c>
      <c r="H180" s="174">
        <f>$B$211/B180</f>
        <v>1.1276595744680848</v>
      </c>
    </row>
    <row r="181" spans="1:8" ht="16.5" customHeight="1">
      <c r="A181" s="163" t="str">
        <f>+Arla_32!A80</f>
        <v>MARÇO|18</v>
      </c>
      <c r="B181" s="180">
        <f>[2]geral!O119</f>
        <v>22.157142857142862</v>
      </c>
      <c r="C181" s="165">
        <f t="shared" ref="C181" si="137">100*B181/$B$8</f>
        <v>239.01987979657889</v>
      </c>
      <c r="D181" s="166">
        <f t="shared" ref="D181" si="138">100*((B181/B180)-1)</f>
        <v>0</v>
      </c>
      <c r="E181" s="166">
        <f t="shared" si="130"/>
        <v>0</v>
      </c>
      <c r="F181" s="166">
        <f t="shared" ref="F181" si="139">100*((B181/B169)-1)</f>
        <v>3.1250000000000222</v>
      </c>
      <c r="G181" s="179">
        <f t="shared" ref="G181" si="140">100*(B181/B157-1)</f>
        <v>6.7446662078458397</v>
      </c>
      <c r="H181" s="174">
        <f>$B$211/B181</f>
        <v>1.1276595744680848</v>
      </c>
    </row>
    <row r="182" spans="1:8" ht="16.5" customHeight="1">
      <c r="A182" s="163" t="str">
        <f>+Arla_32!A81</f>
        <v>ABRIL|18</v>
      </c>
      <c r="B182" s="180">
        <f>[2]geral!O120</f>
        <v>22.157142857142862</v>
      </c>
      <c r="C182" s="165">
        <f t="shared" ref="C182" si="141">100*B182/$B$8</f>
        <v>239.01987979657889</v>
      </c>
      <c r="D182" s="166">
        <f t="shared" ref="D182" si="142">100*((B182/B181)-1)</f>
        <v>0</v>
      </c>
      <c r="E182" s="166">
        <f t="shared" si="130"/>
        <v>0</v>
      </c>
      <c r="F182" s="166">
        <f t="shared" ref="F182" si="143">100*((B182/B170)-1)</f>
        <v>3.1250000000000222</v>
      </c>
      <c r="G182" s="179">
        <f t="shared" ref="G182" si="144">100*(B182/B158-1)</f>
        <v>4.7972972972972983</v>
      </c>
      <c r="H182" s="174">
        <f>$B$211/B182</f>
        <v>1.1276595744680848</v>
      </c>
    </row>
    <row r="183" spans="1:8" ht="16.5" customHeight="1">
      <c r="A183" s="163" t="str">
        <f>+Arla_32!A82</f>
        <v>MAIO|18</v>
      </c>
      <c r="B183" s="180">
        <f>[2]geral!O121</f>
        <v>22.157142857142862</v>
      </c>
      <c r="C183" s="165">
        <f t="shared" ref="C183" si="145">100*B183/$B$8</f>
        <v>239.01987979657889</v>
      </c>
      <c r="D183" s="166">
        <f t="shared" ref="D183" si="146">100*((B183/B182)-1)</f>
        <v>0</v>
      </c>
      <c r="E183" s="166">
        <f t="shared" si="130"/>
        <v>0</v>
      </c>
      <c r="F183" s="166">
        <f t="shared" ref="F183" si="147">100*((B183/B171)-1)</f>
        <v>3.1250000000000222</v>
      </c>
      <c r="G183" s="179">
        <f t="shared" ref="G183" si="148">100*(B183/B159-1)</f>
        <v>4.7972972972972983</v>
      </c>
      <c r="H183" s="174">
        <f>$B$211/B183</f>
        <v>1.1276595744680848</v>
      </c>
    </row>
    <row r="184" spans="1:8" ht="16.5" customHeight="1">
      <c r="A184" s="163" t="str">
        <f>+Arla_32!A83</f>
        <v>JUNHO|18</v>
      </c>
      <c r="B184" s="180">
        <f>[2]geral!O122</f>
        <v>22.642857142857146</v>
      </c>
      <c r="C184" s="165">
        <f t="shared" ref="C184" si="149">100*B184/$B$8</f>
        <v>244.25951610417636</v>
      </c>
      <c r="D184" s="166">
        <f t="shared" ref="D184" si="150">100*((B184/B183)-1)</f>
        <v>2.1921341070277212</v>
      </c>
      <c r="E184" s="166">
        <f t="shared" si="130"/>
        <v>2.1921341070277212</v>
      </c>
      <c r="F184" s="166">
        <f t="shared" ref="F184" si="151">100*((B184/B172)-1)</f>
        <v>5.3856382978723527</v>
      </c>
      <c r="G184" s="179">
        <f t="shared" ref="G184" si="152">100*(B184/B160-1)</f>
        <v>7.0945945945945832</v>
      </c>
      <c r="H184" s="174">
        <f>$B$211/B184</f>
        <v>1.1034700315457413</v>
      </c>
    </row>
    <row r="185" spans="1:8" ht="16.5" customHeight="1">
      <c r="A185" s="163" t="str">
        <f>+Arla_32!A84</f>
        <v>JULHO|18</v>
      </c>
      <c r="B185" s="180">
        <f>[2]geral!O123</f>
        <v>22.642857142857146</v>
      </c>
      <c r="C185" s="165">
        <f t="shared" ref="C185" si="153">100*B185/$B$8</f>
        <v>244.25951610417636</v>
      </c>
      <c r="D185" s="166">
        <f t="shared" ref="D185:D190" si="154">100*((B185/B184)-1)</f>
        <v>0</v>
      </c>
      <c r="E185" s="166">
        <f t="shared" ref="E185" si="155">100*((B185/$B$178)-1)</f>
        <v>2.1921341070277212</v>
      </c>
      <c r="F185" s="166">
        <f t="shared" ref="F185:F190" si="156">100*((B185/B173)-1)</f>
        <v>5.3856382978723527</v>
      </c>
      <c r="G185" s="179">
        <f t="shared" ref="G185:G190" si="157">100*(B185/B161-1)</f>
        <v>7.0945945945945832</v>
      </c>
      <c r="H185" s="174">
        <f>$B$211/B185</f>
        <v>1.1034700315457413</v>
      </c>
    </row>
    <row r="186" spans="1:8" ht="16.5" customHeight="1">
      <c r="A186" s="163" t="str">
        <f>+Arla_32!A85</f>
        <v>AGOSTO|18</v>
      </c>
      <c r="B186" s="180">
        <f>[2]geral!O124</f>
        <v>22.642857142857146</v>
      </c>
      <c r="C186" s="165">
        <f t="shared" ref="C186" si="158">100*B186/$B$8</f>
        <v>244.25951610417636</v>
      </c>
      <c r="D186" s="166">
        <f t="shared" si="154"/>
        <v>0</v>
      </c>
      <c r="E186" s="166">
        <f t="shared" ref="E186" si="159">100*((B186/$B$178)-1)</f>
        <v>2.1921341070277212</v>
      </c>
      <c r="F186" s="166">
        <f t="shared" si="156"/>
        <v>5.3856382978723527</v>
      </c>
      <c r="G186" s="179">
        <f t="shared" si="157"/>
        <v>7.0945945945945832</v>
      </c>
      <c r="H186" s="174">
        <f>$B$211/B186</f>
        <v>1.1034700315457413</v>
      </c>
    </row>
    <row r="187" spans="1:8" ht="16.5" customHeight="1">
      <c r="A187" s="163" t="str">
        <f>+Arla_32!A86</f>
        <v>SETEMBRO|18</v>
      </c>
      <c r="B187" s="180">
        <f>[2]geral!O125</f>
        <v>22.642857142857146</v>
      </c>
      <c r="C187" s="165">
        <f t="shared" ref="C187" si="160">100*B187/$B$8</f>
        <v>244.25951610417636</v>
      </c>
      <c r="D187" s="166">
        <f t="shared" si="154"/>
        <v>0</v>
      </c>
      <c r="E187" s="166">
        <f t="shared" ref="E187" si="161">100*((B187/$B$178)-1)</f>
        <v>2.1921341070277212</v>
      </c>
      <c r="F187" s="166">
        <f t="shared" si="156"/>
        <v>5.3856382978723527</v>
      </c>
      <c r="G187" s="179">
        <f t="shared" si="157"/>
        <v>7.0945945945945832</v>
      </c>
      <c r="H187" s="174">
        <f>$B$211/B187</f>
        <v>1.1034700315457413</v>
      </c>
    </row>
    <row r="188" spans="1:8" ht="16.5" customHeight="1">
      <c r="A188" s="163" t="str">
        <f>+Arla_32!A87</f>
        <v>OUTUBRO|18</v>
      </c>
      <c r="B188" s="180">
        <f>[2]geral!O126</f>
        <v>22.642857142857146</v>
      </c>
      <c r="C188" s="165">
        <f t="shared" ref="C188" si="162">100*B188/$B$8</f>
        <v>244.25951610417636</v>
      </c>
      <c r="D188" s="166">
        <f t="shared" si="154"/>
        <v>0</v>
      </c>
      <c r="E188" s="166">
        <f t="shared" ref="E188" si="163">100*((B188/$B$178)-1)</f>
        <v>2.1921341070277212</v>
      </c>
      <c r="F188" s="166">
        <f t="shared" si="156"/>
        <v>5.3856382978723527</v>
      </c>
      <c r="G188" s="179">
        <f t="shared" si="157"/>
        <v>7.0945945945945832</v>
      </c>
      <c r="H188" s="174">
        <f>$B$211/B188</f>
        <v>1.1034700315457413</v>
      </c>
    </row>
    <row r="189" spans="1:8" ht="16.5" customHeight="1">
      <c r="A189" s="163" t="str">
        <f>+Arla_32!A88</f>
        <v>NOVEMBRO|18</v>
      </c>
      <c r="B189" s="180">
        <f>[2]geral!O127</f>
        <v>22.642857142857146</v>
      </c>
      <c r="C189" s="165">
        <f t="shared" ref="C189" si="164">100*B189/$B$8</f>
        <v>244.25951610417636</v>
      </c>
      <c r="D189" s="166">
        <f t="shared" si="154"/>
        <v>0</v>
      </c>
      <c r="E189" s="166">
        <f t="shared" ref="E189" si="165">100*((B189/$B$178)-1)</f>
        <v>2.1921341070277212</v>
      </c>
      <c r="F189" s="166">
        <f t="shared" si="156"/>
        <v>2.1921341070277212</v>
      </c>
      <c r="G189" s="179">
        <f t="shared" si="157"/>
        <v>7.0945945945945832</v>
      </c>
      <c r="H189" s="174">
        <f>$B$211/B189</f>
        <v>1.1034700315457413</v>
      </c>
    </row>
    <row r="190" spans="1:8" ht="16.5" customHeight="1">
      <c r="A190" s="163" t="str">
        <f>+Arla_32!A89</f>
        <v>DEZEMBRO|18</v>
      </c>
      <c r="B190" s="180">
        <f>[2]geral!O128</f>
        <v>22.642857142857146</v>
      </c>
      <c r="C190" s="165">
        <f t="shared" ref="C190" si="166">100*B190/$B$8</f>
        <v>244.25951610417636</v>
      </c>
      <c r="D190" s="166">
        <f t="shared" si="154"/>
        <v>0</v>
      </c>
      <c r="E190" s="166">
        <f t="shared" ref="E190" si="167">100*((B190/$B$178)-1)</f>
        <v>2.1921341070277212</v>
      </c>
      <c r="F190" s="166">
        <f t="shared" si="156"/>
        <v>2.1921341070277212</v>
      </c>
      <c r="G190" s="179">
        <f t="shared" si="157"/>
        <v>7.0945945945945832</v>
      </c>
      <c r="H190" s="174">
        <f>$B$211/B190</f>
        <v>1.1034700315457413</v>
      </c>
    </row>
    <row r="191" spans="1:8" ht="16.5" customHeight="1">
      <c r="A191" s="163" t="str">
        <f>+Arla_32!A90</f>
        <v>JANEIRO|19</v>
      </c>
      <c r="B191" s="180">
        <f>[2]geral!Q117</f>
        <v>22.642857142857146</v>
      </c>
      <c r="C191" s="165">
        <f t="shared" ref="C191" si="168">100*B191/$B$8</f>
        <v>244.25951610417636</v>
      </c>
      <c r="D191" s="166">
        <f t="shared" ref="D191" si="169">100*((B191/B190)-1)</f>
        <v>0</v>
      </c>
      <c r="E191" s="166">
        <f t="shared" ref="E191:E196" si="170">100*((B191/$B$190)-1)</f>
        <v>0</v>
      </c>
      <c r="F191" s="166">
        <f t="shared" ref="F191" si="171">100*((B191/B179)-1)</f>
        <v>2.1921341070277212</v>
      </c>
      <c r="G191" s="179">
        <f t="shared" ref="G191" si="172">100*(B191/B167-1)</f>
        <v>7.0945945945945832</v>
      </c>
      <c r="H191" s="174">
        <f>$B$211/B191</f>
        <v>1.1034700315457413</v>
      </c>
    </row>
    <row r="192" spans="1:8" ht="16.5" customHeight="1">
      <c r="A192" s="196" t="str">
        <f>+Arla_32!A91</f>
        <v>FEVEREIRO|19</v>
      </c>
      <c r="B192" s="266">
        <f>[2]geral!Q118</f>
        <v>23.214285714285719</v>
      </c>
      <c r="C192" s="197">
        <f t="shared" ref="C192" si="173">100*B192/$B$8</f>
        <v>250.42379411311458</v>
      </c>
      <c r="D192" s="198">
        <f t="shared" ref="D192" si="174">100*((B192/B191)-1)</f>
        <v>2.5236593059936974</v>
      </c>
      <c r="E192" s="198">
        <f t="shared" si="170"/>
        <v>2.5236593059936974</v>
      </c>
      <c r="F192" s="198">
        <f t="shared" ref="F192" si="175">100*((B192/B180)-1)</f>
        <v>4.7711154094132846</v>
      </c>
      <c r="G192" s="267">
        <f t="shared" ref="G192" si="176">100*(B192/B168-1)</f>
        <v>9.7972972972973018</v>
      </c>
      <c r="H192" s="174">
        <f>$B$211/B192</f>
        <v>1.0763076923076922</v>
      </c>
    </row>
    <row r="193" spans="1:8" ht="16.5" customHeight="1">
      <c r="A193" s="196" t="str">
        <f>+Arla_32!A92</f>
        <v>MARÇO|19</v>
      </c>
      <c r="B193" s="266">
        <f>[2]geral!Q119</f>
        <v>23.214285714285719</v>
      </c>
      <c r="C193" s="197">
        <f t="shared" ref="C193" si="177">100*B193/$B$8</f>
        <v>250.42379411311458</v>
      </c>
      <c r="D193" s="198">
        <f t="shared" ref="D193" si="178">100*((B193/B192)-1)</f>
        <v>0</v>
      </c>
      <c r="E193" s="198">
        <f t="shared" si="170"/>
        <v>2.5236593059936974</v>
      </c>
      <c r="F193" s="198">
        <f t="shared" ref="F193" si="179">100*((B193/B181)-1)</f>
        <v>4.7711154094132846</v>
      </c>
      <c r="G193" s="267">
        <f t="shared" ref="G193" si="180">100*(B193/B169-1)</f>
        <v>8.0452127659574657</v>
      </c>
      <c r="H193" s="174">
        <f>$B$211/B193</f>
        <v>1.0763076923076922</v>
      </c>
    </row>
    <row r="194" spans="1:8" ht="16.5" customHeight="1">
      <c r="A194" s="196" t="str">
        <f>+Arla_32!A93</f>
        <v>ABRIL|19</v>
      </c>
      <c r="B194" s="266">
        <f>[2]geral!Q120</f>
        <v>23.214285714285719</v>
      </c>
      <c r="C194" s="197">
        <f t="shared" ref="C194" si="181">100*B194/$B$8</f>
        <v>250.42379411311458</v>
      </c>
      <c r="D194" s="198">
        <f t="shared" ref="D194" si="182">100*((B194/B193)-1)</f>
        <v>0</v>
      </c>
      <c r="E194" s="198">
        <f t="shared" si="170"/>
        <v>2.5236593059936974</v>
      </c>
      <c r="F194" s="198">
        <f t="shared" ref="F194" si="183">100*((B194/B182)-1)</f>
        <v>4.7711154094132846</v>
      </c>
      <c r="G194" s="267">
        <f t="shared" ref="G194" si="184">100*(B194/B170-1)</f>
        <v>8.0452127659574657</v>
      </c>
      <c r="H194" s="174">
        <f>$B$211/B194</f>
        <v>1.0763076923076922</v>
      </c>
    </row>
    <row r="195" spans="1:8" ht="16.5" customHeight="1">
      <c r="A195" s="196" t="str">
        <f>+Arla_32!A94</f>
        <v>MAIO|19</v>
      </c>
      <c r="B195" s="266">
        <f>[2]geral!Q121</f>
        <v>23.214285714285719</v>
      </c>
      <c r="C195" s="197">
        <f t="shared" ref="C195" si="185">100*B195/$B$8</f>
        <v>250.42379411311458</v>
      </c>
      <c r="D195" s="198">
        <f t="shared" ref="D195" si="186">100*((B195/B194)-1)</f>
        <v>0</v>
      </c>
      <c r="E195" s="198">
        <f t="shared" si="170"/>
        <v>2.5236593059936974</v>
      </c>
      <c r="F195" s="198">
        <f t="shared" ref="F195" si="187">100*((B195/B183)-1)</f>
        <v>4.7711154094132846</v>
      </c>
      <c r="G195" s="267">
        <f t="shared" ref="G195" si="188">100*(B195/B171-1)</f>
        <v>8.0452127659574657</v>
      </c>
      <c r="H195" s="174">
        <f>$B$211/B195</f>
        <v>1.0763076923076922</v>
      </c>
    </row>
    <row r="196" spans="1:8" ht="16.5" customHeight="1">
      <c r="A196" s="196" t="str">
        <f>+Arla_32!A95</f>
        <v>JUNHO|19</v>
      </c>
      <c r="B196" s="266">
        <f>[2]geral!Q122</f>
        <v>23.214285714285719</v>
      </c>
      <c r="C196" s="197">
        <f t="shared" ref="C196" si="189">100*B196/$B$8</f>
        <v>250.42379411311458</v>
      </c>
      <c r="D196" s="198">
        <f t="shared" ref="D196" si="190">100*((B196/B195)-1)</f>
        <v>0</v>
      </c>
      <c r="E196" s="198">
        <f t="shared" si="170"/>
        <v>2.5236593059936974</v>
      </c>
      <c r="F196" s="198">
        <f t="shared" ref="F196" si="191">100*((B196/B184)-1)</f>
        <v>2.5236593059936974</v>
      </c>
      <c r="G196" s="267">
        <f t="shared" ref="G196" si="192">100*(B196/B172-1)</f>
        <v>8.0452127659574657</v>
      </c>
      <c r="H196" s="174">
        <f>$B$211/B196</f>
        <v>1.0763076923076922</v>
      </c>
    </row>
    <row r="197" spans="1:8" ht="16.5" customHeight="1">
      <c r="A197" s="196" t="str">
        <f>+Arla_32!A96</f>
        <v>JULHO|19</v>
      </c>
      <c r="B197" s="266">
        <f>[2]geral!Q123</f>
        <v>23.214285714285719</v>
      </c>
      <c r="C197" s="197">
        <f t="shared" ref="C197" si="193">100*B197/$B$8</f>
        <v>250.42379411311458</v>
      </c>
      <c r="D197" s="198">
        <f t="shared" ref="D197" si="194">100*((B197/B196)-1)</f>
        <v>0</v>
      </c>
      <c r="E197" s="198">
        <f t="shared" ref="E197" si="195">100*((B197/$B$190)-1)</f>
        <v>2.5236593059936974</v>
      </c>
      <c r="F197" s="198">
        <f t="shared" ref="F197" si="196">100*((B197/B185)-1)</f>
        <v>2.5236593059936974</v>
      </c>
      <c r="G197" s="267">
        <f t="shared" ref="G197" si="197">100*(B197/B173-1)</f>
        <v>8.0452127659574657</v>
      </c>
      <c r="H197" s="174">
        <f>$B$211/B197</f>
        <v>1.0763076923076922</v>
      </c>
    </row>
    <row r="198" spans="1:8" ht="16.5" customHeight="1">
      <c r="A198" s="196" t="str">
        <f>+Arla_32!A97</f>
        <v>AGOSTO|19</v>
      </c>
      <c r="B198" s="266">
        <f>[2]geral!Q124</f>
        <v>23.214285714285719</v>
      </c>
      <c r="C198" s="197">
        <f t="shared" ref="C198" si="198">100*B198/$B$8</f>
        <v>250.42379411311458</v>
      </c>
      <c r="D198" s="198">
        <f t="shared" ref="D198" si="199">100*((B198/B197)-1)</f>
        <v>0</v>
      </c>
      <c r="E198" s="198">
        <f t="shared" ref="E198" si="200">100*((B198/$B$190)-1)</f>
        <v>2.5236593059936974</v>
      </c>
      <c r="F198" s="198">
        <f t="shared" ref="F198" si="201">100*((B198/B186)-1)</f>
        <v>2.5236593059936974</v>
      </c>
      <c r="G198" s="267">
        <f t="shared" ref="G198" si="202">100*(B198/B174-1)</f>
        <v>8.0452127659574657</v>
      </c>
      <c r="H198" s="174">
        <f>$B$211/B198</f>
        <v>1.0763076923076922</v>
      </c>
    </row>
    <row r="199" spans="1:8" ht="16.5" customHeight="1">
      <c r="A199" s="196" t="str">
        <f>+Arla_32!A98</f>
        <v>SETEMBRO|19</v>
      </c>
      <c r="B199" s="266">
        <f>[2]geral!Q125</f>
        <v>23.214285714285719</v>
      </c>
      <c r="C199" s="197">
        <f t="shared" ref="C199" si="203">100*B199/$B$8</f>
        <v>250.42379411311458</v>
      </c>
      <c r="D199" s="198">
        <f t="shared" ref="D199" si="204">100*((B199/B198)-1)</f>
        <v>0</v>
      </c>
      <c r="E199" s="198">
        <f t="shared" ref="E199" si="205">100*((B199/$B$190)-1)</f>
        <v>2.5236593059936974</v>
      </c>
      <c r="F199" s="198">
        <f t="shared" ref="F199" si="206">100*((B199/B187)-1)</f>
        <v>2.5236593059936974</v>
      </c>
      <c r="G199" s="267">
        <f t="shared" ref="G199" si="207">100*(B199/B175-1)</f>
        <v>8.0452127659574657</v>
      </c>
      <c r="H199" s="174">
        <f>$B$211/B199</f>
        <v>1.0763076923076922</v>
      </c>
    </row>
    <row r="200" spans="1:8" ht="16.5" customHeight="1">
      <c r="A200" s="196" t="str">
        <f>+Arla_32!A99</f>
        <v>OUTUBRO|19</v>
      </c>
      <c r="B200" s="266">
        <f>[2]geral!Q126</f>
        <v>23.214285714285719</v>
      </c>
      <c r="C200" s="197">
        <f t="shared" ref="C200" si="208">100*B200/$B$8</f>
        <v>250.42379411311458</v>
      </c>
      <c r="D200" s="198">
        <f t="shared" ref="D200" si="209">100*((B200/B199)-1)</f>
        <v>0</v>
      </c>
      <c r="E200" s="198">
        <f t="shared" ref="E200" si="210">100*((B200/$B$190)-1)</f>
        <v>2.5236593059936974</v>
      </c>
      <c r="F200" s="198">
        <f t="shared" ref="F200" si="211">100*((B200/B188)-1)</f>
        <v>2.5236593059936974</v>
      </c>
      <c r="G200" s="267">
        <f t="shared" ref="G200" si="212">100*(B200/B176-1)</f>
        <v>8.0452127659574657</v>
      </c>
      <c r="H200" s="174">
        <f>$B$211/B200</f>
        <v>1.0763076923076922</v>
      </c>
    </row>
    <row r="201" spans="1:8" ht="16.5" customHeight="1">
      <c r="A201" s="196" t="str">
        <f>+Arla_32!A100</f>
        <v>NOVEMBRO|19</v>
      </c>
      <c r="B201" s="266">
        <f>[2]geral!Q127</f>
        <v>23.214285714285719</v>
      </c>
      <c r="C201" s="197">
        <f t="shared" ref="C201" si="213">100*B201/$B$8</f>
        <v>250.42379411311458</v>
      </c>
      <c r="D201" s="198">
        <f t="shared" ref="D201" si="214">100*((B201/B200)-1)</f>
        <v>0</v>
      </c>
      <c r="E201" s="198">
        <f t="shared" ref="E201" si="215">100*((B201/$B$190)-1)</f>
        <v>2.5236593059936974</v>
      </c>
      <c r="F201" s="198">
        <f t="shared" ref="F201" si="216">100*((B201/B189)-1)</f>
        <v>2.5236593059936974</v>
      </c>
      <c r="G201" s="267">
        <f t="shared" ref="G201" si="217">100*(B201/B177-1)</f>
        <v>4.7711154094132846</v>
      </c>
      <c r="H201" s="174">
        <f>$B$211/B201</f>
        <v>1.0763076923076922</v>
      </c>
    </row>
    <row r="202" spans="1:8" ht="16.5" customHeight="1">
      <c r="A202" s="196" t="str">
        <f>+Arla_32!A101</f>
        <v>DEZEMBRO|19</v>
      </c>
      <c r="B202" s="266">
        <f>[2]geral!Q128</f>
        <v>23.214285714285719</v>
      </c>
      <c r="C202" s="197">
        <f t="shared" ref="C202" si="218">100*B202/$B$8</f>
        <v>250.42379411311458</v>
      </c>
      <c r="D202" s="198">
        <f t="shared" ref="D202" si="219">100*((B202/B201)-1)</f>
        <v>0</v>
      </c>
      <c r="E202" s="198">
        <f t="shared" ref="E202" si="220">100*((B202/$B$190)-1)</f>
        <v>2.5236593059936974</v>
      </c>
      <c r="F202" s="198">
        <f t="shared" ref="F202" si="221">100*((B202/B190)-1)</f>
        <v>2.5236593059936974</v>
      </c>
      <c r="G202" s="267">
        <f t="shared" ref="G202" si="222">100*(B202/B178-1)</f>
        <v>4.7711154094132846</v>
      </c>
      <c r="H202" s="174">
        <f>$B$211/B202</f>
        <v>1.0763076923076922</v>
      </c>
    </row>
    <row r="203" spans="1:8" ht="16.5" customHeight="1">
      <c r="A203" s="196" t="str">
        <f>+Arla_32!A102</f>
        <v>JANEIRO|20</v>
      </c>
      <c r="B203" s="266">
        <f>[2]geral!S117</f>
        <v>23.214285714285719</v>
      </c>
      <c r="C203" s="197">
        <f t="shared" ref="C203" si="223">100*B203/$B$8</f>
        <v>250.42379411311458</v>
      </c>
      <c r="D203" s="198">
        <f t="shared" ref="D203" si="224">100*((B203/B202)-1)</f>
        <v>0</v>
      </c>
      <c r="E203" s="198">
        <f t="shared" ref="E203:E208" si="225">100*((B203/$B$202)-1)</f>
        <v>0</v>
      </c>
      <c r="F203" s="198">
        <f t="shared" ref="F203" si="226">100*((B203/B191)-1)</f>
        <v>2.5236593059936974</v>
      </c>
      <c r="G203" s="267">
        <f t="shared" ref="G203" si="227">100*(B203/B179-1)</f>
        <v>4.7711154094132846</v>
      </c>
      <c r="H203" s="174">
        <f>$B$211/B203</f>
        <v>1.0763076923076922</v>
      </c>
    </row>
    <row r="204" spans="1:8" ht="16.5" customHeight="1">
      <c r="A204" s="196" t="str">
        <f>+Arla_32!A103</f>
        <v>FEVEREIRO|20</v>
      </c>
      <c r="B204" s="266">
        <f>[2]geral!S118</f>
        <v>24.985714285714288</v>
      </c>
      <c r="C204" s="197">
        <f t="shared" ref="C204" si="228">100*B204/$B$8</f>
        <v>269.53305594082298</v>
      </c>
      <c r="D204" s="198">
        <f t="shared" ref="D204" si="229">100*((B204/B203)-1)</f>
        <v>7.6307692307692188</v>
      </c>
      <c r="E204" s="198">
        <f t="shared" si="225"/>
        <v>7.6307692307692188</v>
      </c>
      <c r="F204" s="198">
        <f t="shared" ref="F204" si="230">100*((B204/B192)-1)</f>
        <v>7.6307692307692188</v>
      </c>
      <c r="G204" s="267">
        <f t="shared" ref="G204" si="231">100*(B204/B180-1)</f>
        <v>12.765957446808486</v>
      </c>
      <c r="H204" s="174">
        <f>$B$211/B204</f>
        <v>1</v>
      </c>
    </row>
    <row r="205" spans="1:8" ht="16.5" customHeight="1">
      <c r="A205" s="196" t="str">
        <f>+Arla_32!A104</f>
        <v>MARÇO|20</v>
      </c>
      <c r="B205" s="266">
        <f>[2]geral!S119</f>
        <v>24.985714285714288</v>
      </c>
      <c r="C205" s="197">
        <f t="shared" ref="C205" si="232">100*B205/$B$8</f>
        <v>269.53305594082298</v>
      </c>
      <c r="D205" s="198">
        <f t="shared" ref="D205" si="233">100*((B205/B204)-1)</f>
        <v>0</v>
      </c>
      <c r="E205" s="198">
        <f t="shared" si="225"/>
        <v>7.6307692307692188</v>
      </c>
      <c r="F205" s="198">
        <f t="shared" ref="F205" si="234">100*((B205/B193)-1)</f>
        <v>7.6307692307692188</v>
      </c>
      <c r="G205" s="267">
        <f t="shared" ref="G205" si="235">100*(B205/B181-1)</f>
        <v>12.765957446808486</v>
      </c>
      <c r="H205" s="174">
        <f>$B$211/B205</f>
        <v>1</v>
      </c>
    </row>
    <row r="206" spans="1:8" ht="16.5" customHeight="1">
      <c r="A206" s="196" t="str">
        <f>+Arla_32!A105</f>
        <v>ABRIL|20</v>
      </c>
      <c r="B206" s="266">
        <f>[2]geral!S120</f>
        <v>24.985714285714288</v>
      </c>
      <c r="C206" s="197">
        <f t="shared" ref="C206" si="236">100*B206/$B$8</f>
        <v>269.53305594082298</v>
      </c>
      <c r="D206" s="198">
        <f t="shared" ref="D206" si="237">100*((B206/B205)-1)</f>
        <v>0</v>
      </c>
      <c r="E206" s="198">
        <f t="shared" si="225"/>
        <v>7.6307692307692188</v>
      </c>
      <c r="F206" s="198">
        <f t="shared" ref="F206" si="238">100*((B206/B194)-1)</f>
        <v>7.6307692307692188</v>
      </c>
      <c r="G206" s="267">
        <f t="shared" ref="G206" si="239">100*(B206/B182-1)</f>
        <v>12.765957446808486</v>
      </c>
      <c r="H206" s="174">
        <f>$B$211/B206</f>
        <v>1</v>
      </c>
    </row>
    <row r="207" spans="1:8" ht="16.5" customHeight="1">
      <c r="A207" s="196" t="str">
        <f>+Arla_32!A106</f>
        <v>MAIO|20</v>
      </c>
      <c r="B207" s="266">
        <f>[2]geral!S121</f>
        <v>24.985714285714288</v>
      </c>
      <c r="C207" s="197">
        <f t="shared" ref="C207" si="240">100*B207/$B$8</f>
        <v>269.53305594082298</v>
      </c>
      <c r="D207" s="198">
        <f t="shared" ref="D207" si="241">100*((B207/B206)-1)</f>
        <v>0</v>
      </c>
      <c r="E207" s="198">
        <f t="shared" si="225"/>
        <v>7.6307692307692188</v>
      </c>
      <c r="F207" s="198">
        <f t="shared" ref="F207" si="242">100*((B207/B195)-1)</f>
        <v>7.6307692307692188</v>
      </c>
      <c r="G207" s="267">
        <f t="shared" ref="G207" si="243">100*(B207/B183-1)</f>
        <v>12.765957446808486</v>
      </c>
      <c r="H207" s="174">
        <f>$B$211/B207</f>
        <v>1</v>
      </c>
    </row>
    <row r="208" spans="1:8" ht="16.5" customHeight="1">
      <c r="A208" s="196" t="str">
        <f>+Arla_32!A107</f>
        <v>JUNHO|20</v>
      </c>
      <c r="B208" s="266">
        <f>[2]geral!S122</f>
        <v>24.985714285714288</v>
      </c>
      <c r="C208" s="197">
        <f t="shared" ref="C208" si="244">100*B208/$B$8</f>
        <v>269.53305594082298</v>
      </c>
      <c r="D208" s="198">
        <f t="shared" ref="D208" si="245">100*((B208/B207)-1)</f>
        <v>0</v>
      </c>
      <c r="E208" s="198">
        <f t="shared" si="225"/>
        <v>7.6307692307692188</v>
      </c>
      <c r="F208" s="198">
        <f t="shared" ref="F208" si="246">100*((B208/B196)-1)</f>
        <v>7.6307692307692188</v>
      </c>
      <c r="G208" s="267">
        <f t="shared" ref="G208" si="247">100*(B208/B184-1)</f>
        <v>10.34700315457413</v>
      </c>
      <c r="H208" s="174">
        <f>$B$211/B208</f>
        <v>1</v>
      </c>
    </row>
    <row r="209" spans="1:8" ht="16.5" customHeight="1">
      <c r="A209" s="196" t="str">
        <f>+Arla_32!A108</f>
        <v>JULHO|20</v>
      </c>
      <c r="B209" s="266">
        <f>[2]geral!S123</f>
        <v>24.985714285714288</v>
      </c>
      <c r="C209" s="197">
        <f t="shared" ref="C209" si="248">100*B209/$B$8</f>
        <v>269.53305594082298</v>
      </c>
      <c r="D209" s="198">
        <f t="shared" ref="D209" si="249">100*((B209/B208)-1)</f>
        <v>0</v>
      </c>
      <c r="E209" s="198">
        <f t="shared" ref="E209" si="250">100*((B209/$B$202)-1)</f>
        <v>7.6307692307692188</v>
      </c>
      <c r="F209" s="198">
        <f t="shared" ref="F209" si="251">100*((B209/B197)-1)</f>
        <v>7.6307692307692188</v>
      </c>
      <c r="G209" s="267">
        <f t="shared" ref="G209" si="252">100*(B209/B185-1)</f>
        <v>10.34700315457413</v>
      </c>
      <c r="H209" s="268">
        <f>$B$211/B209</f>
        <v>1</v>
      </c>
    </row>
    <row r="210" spans="1:8" ht="16.5" customHeight="1">
      <c r="A210" s="196" t="str">
        <f>+Arla_32!A109</f>
        <v>AGOSTO|20</v>
      </c>
      <c r="B210" s="266">
        <f>[2]geral!S124</f>
        <v>24.985714285714288</v>
      </c>
      <c r="C210" s="197">
        <f t="shared" ref="C210" si="253">100*B210/$B$8</f>
        <v>269.53305594082298</v>
      </c>
      <c r="D210" s="198">
        <f t="shared" ref="D210" si="254">100*((B210/B209)-1)</f>
        <v>0</v>
      </c>
      <c r="E210" s="198">
        <f t="shared" ref="E210" si="255">100*((B210/$B$202)-1)</f>
        <v>7.6307692307692188</v>
      </c>
      <c r="F210" s="198">
        <f t="shared" ref="F210" si="256">100*((B210/B198)-1)</f>
        <v>7.6307692307692188</v>
      </c>
      <c r="G210" s="267">
        <f t="shared" ref="G210" si="257">100*(B210/B186-1)</f>
        <v>10.34700315457413</v>
      </c>
      <c r="H210" s="268">
        <f>$B$211/B211</f>
        <v>1</v>
      </c>
    </row>
    <row r="211" spans="1:8" ht="16.5" customHeight="1" thickBot="1">
      <c r="A211" s="151" t="str">
        <f>+Arla_32!A110</f>
        <v>SETEMBRO|20</v>
      </c>
      <c r="B211" s="181">
        <f>[2]geral!S125</f>
        <v>24.985714285714288</v>
      </c>
      <c r="C211" s="153">
        <f t="shared" ref="C211" si="258">100*B211/$B$8</f>
        <v>269.53305594082298</v>
      </c>
      <c r="D211" s="154">
        <f t="shared" ref="D211" si="259">100*((B211/B210)-1)</f>
        <v>0</v>
      </c>
      <c r="E211" s="154">
        <f t="shared" ref="E211" si="260">100*((B211/$B$202)-1)</f>
        <v>7.6307692307692188</v>
      </c>
      <c r="F211" s="154">
        <f t="shared" ref="F211" si="261">100*((B211/B199)-1)</f>
        <v>7.6307692307692188</v>
      </c>
      <c r="G211" s="182">
        <f t="shared" ref="G211" si="262">100*(B211/B187-1)</f>
        <v>10.34700315457413</v>
      </c>
      <c r="H211" s="157">
        <f>$B$211/B211</f>
        <v>1</v>
      </c>
    </row>
    <row r="212" spans="1:8">
      <c r="A212" s="112" t="s">
        <v>292</v>
      </c>
      <c r="B212" s="104"/>
      <c r="C212" s="104"/>
      <c r="D212" s="104"/>
      <c r="E212" s="104"/>
      <c r="F212" s="104"/>
      <c r="G212" s="104"/>
      <c r="H212" s="104"/>
    </row>
    <row r="213" spans="1:8">
      <c r="A213" s="103"/>
      <c r="B213" s="104"/>
      <c r="C213" s="104"/>
      <c r="D213" s="104"/>
      <c r="E213" s="104"/>
      <c r="F213" s="104"/>
      <c r="G213" s="104"/>
      <c r="H213" s="104"/>
    </row>
    <row r="214" spans="1:8">
      <c r="B214" s="104"/>
      <c r="C214" s="104"/>
      <c r="D214" s="104"/>
      <c r="E214" s="104"/>
      <c r="F214" s="104"/>
      <c r="G214" s="104"/>
      <c r="H214" s="104"/>
    </row>
    <row r="215" spans="1:8">
      <c r="A215" s="105"/>
      <c r="B215" s="104"/>
      <c r="C215" s="104"/>
      <c r="D215" s="104"/>
      <c r="E215" s="104"/>
      <c r="F215" s="104"/>
      <c r="G215" s="104"/>
      <c r="H215" s="104"/>
    </row>
    <row r="216" spans="1:8">
      <c r="B216" s="104"/>
      <c r="C216" s="104"/>
      <c r="D216" s="104"/>
      <c r="E216" s="104"/>
      <c r="F216" s="104"/>
      <c r="G216" s="104"/>
      <c r="H216" s="104"/>
    </row>
    <row r="217" spans="1:8">
      <c r="B217" s="104"/>
      <c r="C217" s="104"/>
      <c r="D217" s="104"/>
      <c r="E217" s="104"/>
      <c r="F217" s="104"/>
      <c r="G217" s="104"/>
      <c r="H217" s="104"/>
    </row>
    <row r="218" spans="1:8">
      <c r="A218" s="106"/>
      <c r="B218" s="104"/>
      <c r="C218" s="104"/>
      <c r="D218" s="104"/>
      <c r="E218" s="104"/>
      <c r="F218" s="104"/>
      <c r="G218" s="104"/>
      <c r="H218" s="104"/>
    </row>
    <row r="219" spans="1:8">
      <c r="A219" s="106"/>
      <c r="B219" s="107"/>
      <c r="C219" s="107"/>
      <c r="D219" s="108"/>
      <c r="E219" s="107"/>
      <c r="F219" s="104"/>
      <c r="G219" s="104"/>
      <c r="H219" s="104"/>
    </row>
    <row r="220" spans="1:8">
      <c r="B220" s="104"/>
      <c r="C220" s="104"/>
      <c r="D220" s="104"/>
      <c r="E220" s="104"/>
      <c r="F220" s="104"/>
      <c r="G220" s="104"/>
      <c r="H220" s="104"/>
    </row>
    <row r="221" spans="1:8">
      <c r="B221" s="104"/>
      <c r="C221" s="104"/>
      <c r="D221" s="104"/>
      <c r="E221" s="104"/>
      <c r="F221" s="104"/>
      <c r="G221" s="104"/>
      <c r="H221" s="104"/>
    </row>
    <row r="222" spans="1:8">
      <c r="B222" s="104"/>
      <c r="C222" s="104"/>
      <c r="D222" s="104"/>
      <c r="E222" s="104"/>
      <c r="F222" s="104"/>
      <c r="G222" s="104"/>
      <c r="H222" s="104"/>
    </row>
    <row r="223" spans="1:8">
      <c r="B223" s="104"/>
      <c r="C223" s="104"/>
      <c r="D223" s="104"/>
      <c r="E223" s="104"/>
      <c r="F223" s="104"/>
      <c r="G223" s="104"/>
      <c r="H223" s="104"/>
    </row>
    <row r="224" spans="1:8">
      <c r="B224" s="104"/>
      <c r="C224" s="104"/>
      <c r="D224" s="104"/>
      <c r="E224" s="104"/>
      <c r="F224" s="104"/>
      <c r="G224" s="104"/>
      <c r="H224" s="104"/>
    </row>
    <row r="225" spans="1:8">
      <c r="B225" s="104"/>
      <c r="C225" s="104"/>
      <c r="D225" s="104"/>
      <c r="E225" s="104"/>
      <c r="F225" s="104"/>
      <c r="G225" s="104"/>
      <c r="H225" s="104"/>
    </row>
    <row r="226" spans="1:8">
      <c r="B226" s="104"/>
      <c r="C226" s="104"/>
      <c r="D226" s="104"/>
      <c r="E226" s="104"/>
      <c r="F226" s="104"/>
      <c r="G226" s="104"/>
      <c r="H226" s="104"/>
    </row>
    <row r="227" spans="1:8">
      <c r="B227" s="104"/>
      <c r="C227" s="104"/>
      <c r="D227" s="104"/>
      <c r="E227" s="104"/>
      <c r="F227" s="104"/>
      <c r="G227" s="104"/>
      <c r="H227" s="104"/>
    </row>
    <row r="228" spans="1:8">
      <c r="B228" s="104"/>
      <c r="C228" s="104"/>
      <c r="D228" s="104"/>
      <c r="E228" s="104"/>
      <c r="F228" s="104"/>
      <c r="G228" s="104"/>
      <c r="H228" s="104"/>
    </row>
    <row r="229" spans="1:8">
      <c r="B229" s="104"/>
      <c r="C229" s="104"/>
      <c r="D229" s="104"/>
      <c r="E229" s="104"/>
      <c r="F229" s="104"/>
      <c r="G229" s="104"/>
      <c r="H229" s="104"/>
    </row>
    <row r="230" spans="1:8">
      <c r="B230" s="104"/>
      <c r="C230" s="104"/>
      <c r="D230" s="104"/>
      <c r="E230" s="104"/>
      <c r="F230" s="104"/>
      <c r="G230" s="104"/>
      <c r="H230" s="104"/>
    </row>
    <row r="231" spans="1:8">
      <c r="B231" s="104"/>
      <c r="C231" s="104"/>
      <c r="D231" s="104"/>
      <c r="E231" s="104"/>
      <c r="F231" s="104"/>
      <c r="G231" s="104"/>
      <c r="H231" s="104"/>
    </row>
    <row r="232" spans="1:8">
      <c r="A232" s="105"/>
      <c r="B232" s="104"/>
      <c r="C232" s="104"/>
      <c r="D232" s="104"/>
      <c r="E232" s="104"/>
      <c r="F232" s="104"/>
      <c r="G232" s="104"/>
      <c r="H232" s="104"/>
    </row>
    <row r="233" spans="1:8">
      <c r="B233" s="104"/>
      <c r="C233" s="104"/>
      <c r="D233" s="104"/>
      <c r="E233" s="104"/>
      <c r="F233" s="104"/>
      <c r="G233" s="104"/>
      <c r="H233" s="104"/>
    </row>
    <row r="234" spans="1:8">
      <c r="B234" s="104"/>
      <c r="C234" s="104"/>
      <c r="D234" s="104"/>
      <c r="E234" s="104"/>
      <c r="F234" s="104"/>
      <c r="G234" s="104"/>
      <c r="H234" s="104"/>
    </row>
    <row r="235" spans="1:8">
      <c r="A235" s="106"/>
      <c r="B235" s="104"/>
      <c r="C235" s="104"/>
      <c r="D235" s="104"/>
      <c r="E235" s="104"/>
      <c r="F235" s="104"/>
      <c r="G235" s="104"/>
      <c r="H235" s="104"/>
    </row>
    <row r="236" spans="1:8">
      <c r="A236" s="106"/>
      <c r="B236" s="107"/>
      <c r="C236" s="107"/>
      <c r="D236" s="108"/>
      <c r="E236" s="107"/>
      <c r="F236" s="104"/>
      <c r="G236" s="104"/>
      <c r="H236" s="104"/>
    </row>
    <row r="237" spans="1:8">
      <c r="B237" s="104"/>
      <c r="C237" s="104"/>
      <c r="D237" s="104"/>
      <c r="E237" s="104"/>
      <c r="F237" s="104"/>
      <c r="G237" s="104"/>
      <c r="H237" s="104"/>
    </row>
    <row r="238" spans="1:8">
      <c r="B238" s="104"/>
      <c r="C238" s="104"/>
      <c r="D238" s="104"/>
      <c r="E238" s="104"/>
      <c r="F238" s="104"/>
      <c r="G238" s="104"/>
      <c r="H238" s="104"/>
    </row>
    <row r="239" spans="1:8">
      <c r="B239" s="104"/>
      <c r="C239" s="104"/>
      <c r="D239" s="104"/>
      <c r="E239" s="104"/>
      <c r="F239" s="104"/>
      <c r="G239" s="104"/>
      <c r="H239" s="104"/>
    </row>
    <row r="240" spans="1:8">
      <c r="B240" s="104"/>
      <c r="C240" s="104"/>
      <c r="D240" s="104"/>
      <c r="E240" s="104"/>
      <c r="F240" s="104"/>
      <c r="G240" s="104"/>
      <c r="H240" s="104"/>
    </row>
    <row r="241" spans="1:8">
      <c r="B241" s="104"/>
      <c r="C241" s="104"/>
      <c r="D241" s="104"/>
      <c r="E241" s="104"/>
      <c r="F241" s="104"/>
      <c r="G241" s="104"/>
      <c r="H241" s="104"/>
    </row>
    <row r="242" spans="1:8">
      <c r="B242" s="104"/>
      <c r="C242" s="104"/>
      <c r="D242" s="104"/>
      <c r="E242" s="104"/>
      <c r="F242" s="104"/>
      <c r="G242" s="104"/>
      <c r="H242" s="104"/>
    </row>
    <row r="243" spans="1:8">
      <c r="B243" s="104"/>
      <c r="C243" s="104"/>
      <c r="D243" s="104"/>
      <c r="E243" s="104"/>
      <c r="F243" s="104"/>
      <c r="G243" s="104"/>
      <c r="H243" s="104"/>
    </row>
    <row r="244" spans="1:8">
      <c r="B244" s="104"/>
      <c r="C244" s="104"/>
      <c r="D244" s="104"/>
      <c r="E244" s="104"/>
      <c r="F244" s="104"/>
      <c r="G244" s="104"/>
      <c r="H244" s="104"/>
    </row>
    <row r="245" spans="1:8">
      <c r="B245" s="104"/>
      <c r="C245" s="104"/>
      <c r="D245" s="104"/>
      <c r="E245" s="104"/>
      <c r="F245" s="104"/>
      <c r="G245" s="104"/>
      <c r="H245" s="104"/>
    </row>
    <row r="246" spans="1:8">
      <c r="B246" s="104"/>
      <c r="C246" s="104"/>
      <c r="D246" s="104"/>
      <c r="E246" s="104"/>
      <c r="F246" s="104"/>
      <c r="G246" s="104"/>
      <c r="H246" s="104"/>
    </row>
    <row r="247" spans="1:8">
      <c r="B247" s="104"/>
      <c r="C247" s="104"/>
      <c r="D247" s="104"/>
      <c r="E247" s="104"/>
      <c r="F247" s="104"/>
      <c r="G247" s="104"/>
      <c r="H247" s="104"/>
    </row>
    <row r="248" spans="1:8">
      <c r="B248" s="104"/>
      <c r="C248" s="104"/>
      <c r="D248" s="104"/>
      <c r="E248" s="104"/>
      <c r="F248" s="104"/>
      <c r="G248" s="104"/>
      <c r="H248" s="104"/>
    </row>
    <row r="249" spans="1:8">
      <c r="A249" s="105"/>
      <c r="B249" s="104"/>
      <c r="C249" s="104"/>
      <c r="D249" s="104"/>
      <c r="E249" s="104"/>
      <c r="F249" s="104"/>
      <c r="G249" s="104"/>
      <c r="H249" s="104"/>
    </row>
    <row r="250" spans="1:8">
      <c r="B250" s="104"/>
      <c r="C250" s="104"/>
      <c r="D250" s="104"/>
      <c r="E250" s="104"/>
      <c r="F250" s="104"/>
      <c r="G250" s="104"/>
      <c r="H250" s="104"/>
    </row>
    <row r="251" spans="1:8">
      <c r="B251" s="104"/>
      <c r="C251" s="104"/>
      <c r="D251" s="104"/>
      <c r="E251" s="104"/>
      <c r="F251" s="104"/>
      <c r="G251" s="104"/>
      <c r="H251" s="104"/>
    </row>
    <row r="252" spans="1:8">
      <c r="B252" s="104"/>
      <c r="C252" s="104"/>
      <c r="D252" s="104"/>
      <c r="E252" s="104"/>
      <c r="F252" s="104"/>
      <c r="G252" s="104"/>
      <c r="H252" s="104"/>
    </row>
    <row r="253" spans="1:8">
      <c r="B253" s="104"/>
      <c r="C253" s="104"/>
      <c r="D253" s="104"/>
      <c r="E253" s="104"/>
      <c r="F253" s="104"/>
      <c r="G253" s="104"/>
      <c r="H253" s="104"/>
    </row>
    <row r="254" spans="1:8">
      <c r="B254" s="104"/>
      <c r="C254" s="104"/>
      <c r="D254" s="104"/>
      <c r="E254" s="104"/>
      <c r="F254" s="104"/>
      <c r="G254" s="104"/>
      <c r="H254" s="104"/>
    </row>
    <row r="255" spans="1:8">
      <c r="B255" s="104"/>
      <c r="C255" s="104"/>
      <c r="D255" s="104"/>
      <c r="E255" s="104"/>
      <c r="F255" s="104"/>
      <c r="G255" s="104"/>
      <c r="H255" s="104"/>
    </row>
    <row r="256" spans="1:8">
      <c r="B256" s="104"/>
      <c r="C256" s="104"/>
      <c r="D256" s="104"/>
      <c r="E256" s="104"/>
      <c r="F256" s="104"/>
      <c r="G256" s="104"/>
      <c r="H256" s="104"/>
    </row>
    <row r="257" spans="1:8">
      <c r="B257" s="104"/>
      <c r="C257" s="104"/>
      <c r="D257" s="104"/>
      <c r="E257" s="104"/>
      <c r="F257" s="104"/>
      <c r="G257" s="104"/>
      <c r="H257" s="104"/>
    </row>
    <row r="258" spans="1:8">
      <c r="B258" s="104"/>
      <c r="C258" s="104"/>
      <c r="D258" s="104"/>
      <c r="E258" s="104"/>
      <c r="F258" s="104"/>
      <c r="G258" s="104"/>
      <c r="H258" s="104"/>
    </row>
    <row r="259" spans="1:8">
      <c r="B259" s="104"/>
      <c r="C259" s="104"/>
      <c r="D259" s="104"/>
      <c r="E259" s="104"/>
      <c r="F259" s="104"/>
      <c r="G259" s="104"/>
      <c r="H259" s="104"/>
    </row>
    <row r="260" spans="1:8">
      <c r="B260" s="104"/>
      <c r="C260" s="104"/>
      <c r="D260" s="104"/>
      <c r="E260" s="104"/>
      <c r="F260" s="104"/>
      <c r="G260" s="104"/>
      <c r="H260" s="104"/>
    </row>
    <row r="261" spans="1:8">
      <c r="B261" s="104"/>
      <c r="C261" s="104"/>
      <c r="D261" s="104"/>
      <c r="E261" s="104"/>
      <c r="F261" s="104"/>
      <c r="G261" s="104"/>
      <c r="H261" s="104"/>
    </row>
    <row r="262" spans="1:8">
      <c r="B262" s="104"/>
      <c r="C262" s="104"/>
      <c r="D262" s="104"/>
      <c r="E262" s="104"/>
      <c r="F262" s="104"/>
      <c r="G262" s="104"/>
      <c r="H262" s="104"/>
    </row>
    <row r="263" spans="1:8">
      <c r="B263" s="104"/>
      <c r="C263" s="104"/>
      <c r="D263" s="104"/>
      <c r="E263" s="104"/>
      <c r="F263" s="104"/>
      <c r="G263" s="104"/>
      <c r="H263" s="104"/>
    </row>
    <row r="264" spans="1:8">
      <c r="A264" s="62"/>
      <c r="B264" s="104"/>
      <c r="C264" s="104"/>
      <c r="D264" s="104"/>
      <c r="E264" s="104"/>
      <c r="F264" s="104"/>
      <c r="G264" s="104"/>
      <c r="H264" s="104"/>
    </row>
    <row r="265" spans="1:8">
      <c r="A265" s="62"/>
      <c r="B265" s="104"/>
      <c r="C265" s="104"/>
      <c r="D265" s="104"/>
      <c r="E265" s="104"/>
      <c r="F265" s="104"/>
      <c r="G265" s="104"/>
      <c r="H265" s="104"/>
    </row>
    <row r="266" spans="1:8">
      <c r="A266" s="62"/>
      <c r="B266" s="104"/>
      <c r="C266" s="104"/>
      <c r="D266" s="104"/>
      <c r="E266" s="104"/>
      <c r="F266" s="104"/>
      <c r="G266" s="104"/>
      <c r="H266" s="104"/>
    </row>
    <row r="267" spans="1:8">
      <c r="A267" s="62"/>
      <c r="B267" s="104"/>
      <c r="C267" s="104"/>
      <c r="D267" s="104"/>
      <c r="E267" s="104"/>
      <c r="F267" s="104"/>
      <c r="G267" s="104"/>
      <c r="H267" s="104"/>
    </row>
    <row r="268" spans="1:8">
      <c r="A268" s="62"/>
      <c r="B268" s="104"/>
      <c r="C268" s="104"/>
      <c r="D268" s="104"/>
      <c r="E268" s="104"/>
      <c r="F268" s="104"/>
      <c r="G268" s="104"/>
      <c r="H268" s="104"/>
    </row>
    <row r="269" spans="1:8">
      <c r="A269" s="62"/>
      <c r="B269" s="104"/>
      <c r="C269" s="104"/>
      <c r="D269" s="104"/>
      <c r="E269" s="104"/>
      <c r="F269" s="104"/>
      <c r="G269" s="104"/>
      <c r="H269" s="104"/>
    </row>
    <row r="270" spans="1:8">
      <c r="A270" s="62"/>
      <c r="B270" s="104"/>
      <c r="C270" s="104"/>
      <c r="D270" s="104"/>
      <c r="E270" s="104"/>
      <c r="F270" s="104"/>
      <c r="G270" s="104"/>
      <c r="H270" s="104"/>
    </row>
    <row r="271" spans="1:8">
      <c r="A271" s="62"/>
      <c r="B271" s="104"/>
      <c r="C271" s="104"/>
      <c r="D271" s="104"/>
      <c r="E271" s="104"/>
      <c r="F271" s="104"/>
      <c r="G271" s="104"/>
      <c r="H271" s="104"/>
    </row>
    <row r="272" spans="1:8">
      <c r="A272" s="62"/>
      <c r="B272" s="104"/>
      <c r="C272" s="104"/>
      <c r="D272" s="104"/>
      <c r="E272" s="104"/>
      <c r="F272" s="104"/>
      <c r="G272" s="104"/>
      <c r="H272" s="104"/>
    </row>
    <row r="273" spans="1:8">
      <c r="A273" s="62"/>
      <c r="B273" s="104"/>
      <c r="C273" s="104"/>
      <c r="D273" s="104"/>
      <c r="E273" s="104"/>
      <c r="F273" s="104"/>
      <c r="G273" s="104"/>
      <c r="H273" s="104"/>
    </row>
    <row r="274" spans="1:8">
      <c r="A274" s="62"/>
      <c r="B274" s="104"/>
      <c r="C274" s="104"/>
      <c r="D274" s="104"/>
      <c r="E274" s="104"/>
      <c r="F274" s="104"/>
      <c r="G274" s="104"/>
      <c r="H274" s="104"/>
    </row>
    <row r="275" spans="1:8">
      <c r="A275" s="62"/>
      <c r="B275" s="104"/>
      <c r="C275" s="104"/>
      <c r="D275" s="104"/>
      <c r="E275" s="104"/>
      <c r="F275" s="104"/>
      <c r="G275" s="104"/>
      <c r="H275" s="104"/>
    </row>
    <row r="276" spans="1:8">
      <c r="A276" s="62"/>
      <c r="B276" s="104"/>
      <c r="C276" s="104"/>
      <c r="D276" s="104"/>
      <c r="E276" s="104"/>
      <c r="F276" s="104"/>
      <c r="G276" s="104"/>
      <c r="H276" s="104"/>
    </row>
    <row r="277" spans="1:8">
      <c r="A277" s="62"/>
      <c r="B277" s="104"/>
      <c r="C277" s="104"/>
      <c r="D277" s="104"/>
      <c r="E277" s="104"/>
      <c r="F277" s="104"/>
      <c r="G277" s="104"/>
      <c r="H277" s="104"/>
    </row>
    <row r="278" spans="1:8">
      <c r="A278" s="62"/>
      <c r="B278" s="104"/>
      <c r="C278" s="104"/>
      <c r="D278" s="104"/>
      <c r="E278" s="104"/>
      <c r="F278" s="104"/>
      <c r="G278" s="104"/>
      <c r="H278" s="104"/>
    </row>
    <row r="279" spans="1:8">
      <c r="A279" s="62"/>
      <c r="B279" s="104"/>
      <c r="C279" s="104"/>
      <c r="D279" s="104"/>
      <c r="E279" s="104"/>
      <c r="F279" s="104"/>
      <c r="G279" s="104"/>
      <c r="H279" s="104"/>
    </row>
    <row r="280" spans="1:8">
      <c r="A280" s="62"/>
      <c r="B280" s="104"/>
      <c r="C280" s="104"/>
      <c r="D280" s="104"/>
      <c r="E280" s="104"/>
      <c r="F280" s="104"/>
      <c r="G280" s="104"/>
      <c r="H280" s="104"/>
    </row>
    <row r="281" spans="1:8">
      <c r="A281" s="62"/>
      <c r="B281" s="104"/>
      <c r="C281" s="104"/>
      <c r="D281" s="104"/>
      <c r="E281" s="104"/>
      <c r="F281" s="104"/>
      <c r="G281" s="104"/>
      <c r="H281" s="104"/>
    </row>
    <row r="282" spans="1:8">
      <c r="A282" s="62"/>
      <c r="B282" s="104"/>
      <c r="C282" s="104"/>
      <c r="D282" s="104"/>
      <c r="E282" s="104"/>
      <c r="F282" s="104"/>
      <c r="G282" s="104"/>
      <c r="H282" s="104"/>
    </row>
    <row r="283" spans="1:8">
      <c r="A283" s="62"/>
      <c r="B283" s="104"/>
      <c r="C283" s="104"/>
      <c r="D283" s="104"/>
      <c r="E283" s="104"/>
      <c r="F283" s="104"/>
      <c r="G283" s="104"/>
      <c r="H283" s="104"/>
    </row>
    <row r="284" spans="1:8">
      <c r="A284" s="62"/>
      <c r="B284" s="104"/>
      <c r="C284" s="104"/>
      <c r="D284" s="104"/>
      <c r="E284" s="104"/>
      <c r="F284" s="104"/>
      <c r="G284" s="104"/>
      <c r="H284" s="104"/>
    </row>
    <row r="285" spans="1:8">
      <c r="A285" s="62"/>
      <c r="B285" s="104"/>
      <c r="C285" s="104"/>
      <c r="D285" s="104"/>
      <c r="E285" s="104"/>
      <c r="F285" s="104"/>
      <c r="G285" s="104"/>
      <c r="H285" s="104"/>
    </row>
    <row r="286" spans="1:8">
      <c r="A286" s="62"/>
      <c r="B286" s="104"/>
      <c r="C286" s="104"/>
      <c r="D286" s="104"/>
      <c r="E286" s="104"/>
      <c r="F286" s="104"/>
      <c r="G286" s="104"/>
      <c r="H286" s="104"/>
    </row>
    <row r="287" spans="1:8">
      <c r="A287" s="62"/>
      <c r="B287" s="104"/>
      <c r="C287" s="104"/>
      <c r="D287" s="104"/>
      <c r="E287" s="104"/>
      <c r="F287" s="104"/>
      <c r="G287" s="104"/>
      <c r="H287" s="104"/>
    </row>
    <row r="288" spans="1:8">
      <c r="A288" s="62"/>
      <c r="B288" s="104"/>
      <c r="C288" s="104"/>
      <c r="D288" s="104"/>
      <c r="E288" s="104"/>
      <c r="F288" s="104"/>
      <c r="G288" s="104"/>
      <c r="H288" s="104"/>
    </row>
    <row r="289" spans="1:8">
      <c r="A289" s="62"/>
      <c r="B289" s="104"/>
      <c r="C289" s="104"/>
      <c r="D289" s="104"/>
      <c r="E289" s="104"/>
      <c r="F289" s="104"/>
      <c r="G289" s="104"/>
      <c r="H289" s="104"/>
    </row>
    <row r="290" spans="1:8">
      <c r="A290" s="62"/>
      <c r="B290" s="104"/>
      <c r="C290" s="104"/>
      <c r="D290" s="104"/>
      <c r="E290" s="104"/>
      <c r="F290" s="104"/>
      <c r="G290" s="104"/>
      <c r="H290" s="104"/>
    </row>
    <row r="291" spans="1:8">
      <c r="A291" s="62"/>
      <c r="B291" s="104"/>
      <c r="C291" s="104"/>
      <c r="D291" s="104"/>
      <c r="E291" s="104"/>
      <c r="F291" s="104"/>
      <c r="G291" s="104"/>
      <c r="H291" s="104"/>
    </row>
    <row r="292" spans="1:8">
      <c r="A292" s="62"/>
      <c r="B292" s="104"/>
      <c r="C292" s="104"/>
      <c r="D292" s="104"/>
      <c r="E292" s="104"/>
      <c r="F292" s="104"/>
      <c r="G292" s="104"/>
      <c r="H292" s="104"/>
    </row>
    <row r="293" spans="1:8">
      <c r="A293" s="62"/>
      <c r="B293" s="104"/>
      <c r="C293" s="104"/>
      <c r="D293" s="104"/>
      <c r="E293" s="104"/>
      <c r="F293" s="104"/>
      <c r="G293" s="104"/>
      <c r="H293" s="104"/>
    </row>
    <row r="294" spans="1:8">
      <c r="A294" s="62"/>
      <c r="B294" s="104"/>
      <c r="C294" s="104"/>
      <c r="D294" s="104"/>
      <c r="E294" s="104"/>
      <c r="F294" s="104"/>
      <c r="G294" s="104"/>
      <c r="H294" s="104"/>
    </row>
    <row r="295" spans="1:8">
      <c r="A295" s="62"/>
      <c r="B295" s="104"/>
      <c r="C295" s="104"/>
      <c r="D295" s="104"/>
      <c r="E295" s="104"/>
      <c r="F295" s="104"/>
      <c r="G295" s="104"/>
      <c r="H295" s="104"/>
    </row>
    <row r="296" spans="1:8">
      <c r="A296" s="62"/>
      <c r="B296" s="104"/>
      <c r="C296" s="104"/>
      <c r="D296" s="104"/>
      <c r="E296" s="104"/>
      <c r="F296" s="104"/>
      <c r="G296" s="104"/>
      <c r="H296" s="104"/>
    </row>
    <row r="297" spans="1:8">
      <c r="A297" s="62"/>
      <c r="B297" s="104"/>
      <c r="C297" s="104"/>
      <c r="D297" s="104"/>
      <c r="E297" s="104"/>
      <c r="F297" s="104"/>
      <c r="G297" s="104"/>
      <c r="H297" s="104"/>
    </row>
    <row r="298" spans="1:8">
      <c r="A298" s="62"/>
      <c r="B298" s="104"/>
      <c r="C298" s="104"/>
      <c r="D298" s="104"/>
      <c r="E298" s="104"/>
      <c r="F298" s="104"/>
      <c r="G298" s="104"/>
      <c r="H298" s="104"/>
    </row>
    <row r="299" spans="1:8">
      <c r="A299" s="62"/>
      <c r="B299" s="104"/>
      <c r="C299" s="104"/>
      <c r="D299" s="104"/>
      <c r="E299" s="104"/>
      <c r="F299" s="104"/>
      <c r="G299" s="104"/>
      <c r="H299" s="104"/>
    </row>
    <row r="300" spans="1:8">
      <c r="A300" s="62"/>
      <c r="B300" s="104"/>
      <c r="C300" s="104"/>
      <c r="D300" s="104"/>
      <c r="E300" s="104"/>
      <c r="F300" s="104"/>
      <c r="G300" s="104"/>
      <c r="H300" s="104"/>
    </row>
    <row r="301" spans="1:8">
      <c r="A301" s="62"/>
      <c r="B301" s="104"/>
      <c r="C301" s="104"/>
      <c r="D301" s="104"/>
      <c r="E301" s="104"/>
      <c r="F301" s="104"/>
      <c r="G301" s="104"/>
      <c r="H301" s="104"/>
    </row>
    <row r="302" spans="1:8">
      <c r="A302" s="62"/>
      <c r="B302" s="104"/>
      <c r="C302" s="104"/>
      <c r="D302" s="104"/>
      <c r="E302" s="104"/>
      <c r="F302" s="104"/>
      <c r="G302" s="104"/>
      <c r="H302" s="104"/>
    </row>
    <row r="303" spans="1:8">
      <c r="A303" s="62"/>
      <c r="B303" s="104"/>
      <c r="C303" s="104"/>
      <c r="D303" s="104"/>
      <c r="E303" s="104"/>
      <c r="F303" s="104"/>
      <c r="G303" s="104"/>
      <c r="H303" s="104"/>
    </row>
    <row r="304" spans="1:8">
      <c r="A304" s="62"/>
      <c r="B304" s="104"/>
      <c r="C304" s="104"/>
      <c r="D304" s="104"/>
      <c r="E304" s="104"/>
      <c r="F304" s="104"/>
      <c r="G304" s="104"/>
      <c r="H304" s="104"/>
    </row>
    <row r="305" spans="1:8">
      <c r="A305" s="62"/>
      <c r="B305" s="104"/>
      <c r="C305" s="104"/>
      <c r="D305" s="104"/>
      <c r="E305" s="104"/>
      <c r="F305" s="104"/>
      <c r="G305" s="104"/>
      <c r="H305" s="104"/>
    </row>
    <row r="306" spans="1:8">
      <c r="A306" s="62"/>
      <c r="B306" s="104"/>
      <c r="C306" s="104"/>
      <c r="D306" s="104"/>
      <c r="E306" s="104"/>
      <c r="F306" s="104"/>
      <c r="G306" s="104"/>
      <c r="H306" s="104"/>
    </row>
    <row r="307" spans="1:8">
      <c r="A307" s="62"/>
      <c r="B307" s="104"/>
      <c r="C307" s="104"/>
      <c r="D307" s="104"/>
      <c r="E307" s="104"/>
      <c r="F307" s="104"/>
      <c r="G307" s="104"/>
      <c r="H307" s="104"/>
    </row>
    <row r="308" spans="1:8">
      <c r="A308" s="62"/>
      <c r="B308" s="104"/>
      <c r="C308" s="104"/>
      <c r="D308" s="104"/>
      <c r="E308" s="104"/>
      <c r="F308" s="104"/>
      <c r="G308" s="104"/>
      <c r="H308" s="104"/>
    </row>
    <row r="309" spans="1:8">
      <c r="A309" s="62"/>
      <c r="B309" s="104"/>
      <c r="C309" s="104"/>
      <c r="D309" s="104"/>
      <c r="E309" s="104"/>
      <c r="F309" s="104"/>
      <c r="G309" s="104"/>
      <c r="H309" s="104"/>
    </row>
    <row r="310" spans="1:8">
      <c r="A310" s="62"/>
      <c r="B310" s="104"/>
      <c r="C310" s="104"/>
      <c r="D310" s="104"/>
      <c r="E310" s="104"/>
      <c r="F310" s="104"/>
      <c r="G310" s="104"/>
      <c r="H310" s="104"/>
    </row>
    <row r="311" spans="1:8">
      <c r="A311" s="62"/>
      <c r="B311" s="104"/>
      <c r="C311" s="104"/>
      <c r="D311" s="104"/>
      <c r="E311" s="104"/>
      <c r="F311" s="104"/>
      <c r="G311" s="104"/>
      <c r="H311" s="104"/>
    </row>
    <row r="312" spans="1:8">
      <c r="A312" s="62"/>
      <c r="B312" s="104"/>
      <c r="C312" s="104"/>
      <c r="D312" s="104"/>
      <c r="E312" s="104"/>
      <c r="F312" s="104"/>
      <c r="G312" s="104"/>
      <c r="H312" s="104"/>
    </row>
    <row r="313" spans="1:8">
      <c r="A313" s="62"/>
      <c r="B313" s="104"/>
      <c r="C313" s="104"/>
      <c r="D313" s="104"/>
      <c r="E313" s="104"/>
      <c r="F313" s="104"/>
      <c r="G313" s="104"/>
      <c r="H313" s="104"/>
    </row>
    <row r="314" spans="1:8">
      <c r="A314" s="62"/>
      <c r="B314" s="104"/>
      <c r="C314" s="104"/>
      <c r="D314" s="104"/>
      <c r="E314" s="104"/>
      <c r="F314" s="104"/>
      <c r="G314" s="104"/>
      <c r="H314" s="104"/>
    </row>
    <row r="315" spans="1:8">
      <c r="A315" s="62"/>
      <c r="B315" s="104"/>
      <c r="C315" s="104"/>
      <c r="D315" s="104"/>
      <c r="E315" s="104"/>
      <c r="F315" s="104"/>
      <c r="G315" s="104"/>
      <c r="H315" s="104"/>
    </row>
    <row r="316" spans="1:8">
      <c r="A316" s="62"/>
      <c r="B316" s="104"/>
      <c r="C316" s="104"/>
      <c r="D316" s="104"/>
      <c r="E316" s="104"/>
      <c r="F316" s="104"/>
      <c r="G316" s="104"/>
      <c r="H316" s="104"/>
    </row>
    <row r="317" spans="1:8">
      <c r="A317" s="62"/>
      <c r="B317" s="104"/>
      <c r="C317" s="104"/>
      <c r="D317" s="104"/>
      <c r="E317" s="104"/>
      <c r="F317" s="104"/>
      <c r="G317" s="104"/>
      <c r="H317" s="104"/>
    </row>
    <row r="318" spans="1:8">
      <c r="A318" s="62"/>
      <c r="B318" s="104"/>
      <c r="C318" s="104"/>
      <c r="D318" s="104"/>
      <c r="E318" s="104"/>
      <c r="F318" s="104"/>
      <c r="G318" s="104"/>
      <c r="H318" s="104"/>
    </row>
    <row r="319" spans="1:8">
      <c r="A319" s="62"/>
      <c r="B319" s="104"/>
      <c r="C319" s="104"/>
      <c r="D319" s="104"/>
      <c r="E319" s="104"/>
      <c r="F319" s="104"/>
      <c r="G319" s="104"/>
      <c r="H319" s="104"/>
    </row>
    <row r="320" spans="1:8">
      <c r="A320" s="62"/>
      <c r="B320" s="104"/>
      <c r="C320" s="104"/>
      <c r="D320" s="104"/>
      <c r="E320" s="104"/>
      <c r="F320" s="104"/>
      <c r="G320" s="104"/>
      <c r="H320" s="104"/>
    </row>
    <row r="321" spans="1:8">
      <c r="A321" s="62"/>
      <c r="B321" s="104"/>
      <c r="C321" s="104"/>
      <c r="D321" s="104"/>
      <c r="E321" s="104"/>
      <c r="F321" s="104"/>
      <c r="G321" s="104"/>
      <c r="H321" s="104"/>
    </row>
    <row r="322" spans="1:8">
      <c r="A322" s="62"/>
      <c r="B322" s="104"/>
      <c r="C322" s="104"/>
      <c r="D322" s="104"/>
      <c r="E322" s="104"/>
      <c r="F322" s="104"/>
      <c r="G322" s="104"/>
      <c r="H322" s="104"/>
    </row>
    <row r="323" spans="1:8">
      <c r="A323" s="62"/>
      <c r="B323" s="104"/>
      <c r="C323" s="104"/>
      <c r="D323" s="104"/>
      <c r="E323" s="104"/>
      <c r="F323" s="104"/>
      <c r="G323" s="104"/>
      <c r="H323" s="104"/>
    </row>
    <row r="324" spans="1:8">
      <c r="A324" s="62"/>
      <c r="B324" s="104"/>
      <c r="C324" s="104"/>
      <c r="D324" s="104"/>
      <c r="E324" s="104"/>
      <c r="F324" s="104"/>
      <c r="G324" s="104"/>
      <c r="H324" s="104"/>
    </row>
    <row r="325" spans="1:8">
      <c r="A325" s="62"/>
      <c r="B325" s="104"/>
      <c r="C325" s="104"/>
      <c r="D325" s="104"/>
      <c r="E325" s="104"/>
      <c r="F325" s="104"/>
      <c r="G325" s="104"/>
      <c r="H325" s="104"/>
    </row>
    <row r="326" spans="1:8">
      <c r="A326" s="62"/>
      <c r="B326" s="104"/>
      <c r="C326" s="104"/>
      <c r="D326" s="104"/>
      <c r="E326" s="104"/>
      <c r="F326" s="104"/>
      <c r="G326" s="104"/>
      <c r="H326" s="104"/>
    </row>
    <row r="327" spans="1:8">
      <c r="A327" s="62"/>
      <c r="B327" s="104"/>
      <c r="C327" s="104"/>
      <c r="D327" s="104"/>
      <c r="E327" s="104"/>
      <c r="F327" s="104"/>
      <c r="G327" s="104"/>
      <c r="H327" s="104"/>
    </row>
    <row r="328" spans="1:8">
      <c r="A328" s="62"/>
      <c r="B328" s="104"/>
      <c r="C328" s="104"/>
      <c r="D328" s="104"/>
      <c r="E328" s="104"/>
      <c r="F328" s="104"/>
      <c r="G328" s="104"/>
      <c r="H328" s="104"/>
    </row>
    <row r="329" spans="1:8">
      <c r="A329" s="62"/>
      <c r="B329" s="104"/>
      <c r="C329" s="104"/>
      <c r="D329" s="104"/>
      <c r="E329" s="104"/>
      <c r="F329" s="104"/>
      <c r="G329" s="104"/>
      <c r="H329" s="104"/>
    </row>
    <row r="330" spans="1:8">
      <c r="A330" s="62"/>
      <c r="B330" s="104"/>
      <c r="C330" s="104"/>
      <c r="D330" s="104"/>
      <c r="E330" s="104"/>
      <c r="F330" s="104"/>
      <c r="G330" s="104"/>
      <c r="H330" s="104"/>
    </row>
    <row r="331" spans="1:8">
      <c r="A331" s="62"/>
      <c r="B331" s="104"/>
      <c r="C331" s="104"/>
      <c r="D331" s="104"/>
      <c r="E331" s="104"/>
      <c r="F331" s="104"/>
      <c r="G331" s="104"/>
      <c r="H331" s="104"/>
    </row>
    <row r="332" spans="1:8">
      <c r="A332" s="62"/>
      <c r="B332" s="104"/>
      <c r="C332" s="104"/>
      <c r="D332" s="104"/>
      <c r="E332" s="104"/>
      <c r="F332" s="104"/>
      <c r="G332" s="104"/>
      <c r="H332" s="104"/>
    </row>
    <row r="333" spans="1:8">
      <c r="A333" s="62"/>
      <c r="B333" s="104"/>
      <c r="C333" s="104"/>
      <c r="D333" s="104"/>
      <c r="E333" s="104"/>
      <c r="F333" s="104"/>
      <c r="G333" s="104"/>
      <c r="H333" s="104"/>
    </row>
    <row r="334" spans="1:8">
      <c r="A334" s="62"/>
      <c r="B334" s="104"/>
      <c r="C334" s="104"/>
      <c r="D334" s="104"/>
      <c r="E334" s="104"/>
      <c r="F334" s="104"/>
      <c r="G334" s="104"/>
      <c r="H334" s="104"/>
    </row>
    <row r="335" spans="1:8">
      <c r="A335" s="62"/>
      <c r="B335" s="104"/>
      <c r="C335" s="104"/>
      <c r="D335" s="104"/>
      <c r="E335" s="104"/>
      <c r="F335" s="104"/>
      <c r="G335" s="104"/>
      <c r="H335" s="104"/>
    </row>
    <row r="336" spans="1:8">
      <c r="A336" s="62"/>
      <c r="B336" s="104"/>
      <c r="C336" s="104"/>
      <c r="D336" s="104"/>
      <c r="E336" s="104"/>
      <c r="F336" s="104"/>
      <c r="G336" s="104"/>
      <c r="H336" s="104"/>
    </row>
    <row r="337" spans="1:8">
      <c r="A337" s="62"/>
      <c r="B337" s="104"/>
      <c r="C337" s="104"/>
      <c r="D337" s="104"/>
      <c r="E337" s="104"/>
      <c r="F337" s="104"/>
      <c r="G337" s="104"/>
      <c r="H337" s="104"/>
    </row>
    <row r="338" spans="1:8">
      <c r="A338" s="62"/>
      <c r="B338" s="104"/>
      <c r="C338" s="104"/>
      <c r="D338" s="104"/>
      <c r="E338" s="104"/>
      <c r="F338" s="104"/>
      <c r="G338" s="104"/>
      <c r="H338" s="104"/>
    </row>
    <row r="339" spans="1:8">
      <c r="A339" s="62"/>
      <c r="B339" s="104"/>
      <c r="C339" s="104"/>
      <c r="D339" s="104"/>
      <c r="E339" s="104"/>
      <c r="F339" s="104"/>
      <c r="G339" s="104"/>
      <c r="H339" s="104"/>
    </row>
    <row r="340" spans="1:8">
      <c r="A340" s="62"/>
      <c r="B340" s="104"/>
      <c r="C340" s="104"/>
      <c r="D340" s="104"/>
      <c r="E340" s="104"/>
      <c r="F340" s="104"/>
      <c r="G340" s="104"/>
      <c r="H340" s="104"/>
    </row>
    <row r="341" spans="1:8">
      <c r="A341" s="62"/>
      <c r="B341" s="104"/>
      <c r="C341" s="104"/>
      <c r="D341" s="104"/>
      <c r="E341" s="104"/>
      <c r="F341" s="104"/>
      <c r="G341" s="104"/>
      <c r="H341" s="104"/>
    </row>
    <row r="342" spans="1:8">
      <c r="A342" s="62"/>
      <c r="B342" s="104"/>
      <c r="C342" s="104"/>
      <c r="D342" s="104"/>
      <c r="E342" s="104"/>
      <c r="F342" s="104"/>
      <c r="G342" s="104"/>
      <c r="H342" s="104"/>
    </row>
    <row r="343" spans="1:8">
      <c r="A343" s="62"/>
      <c r="B343" s="104"/>
      <c r="C343" s="104"/>
      <c r="D343" s="104"/>
      <c r="E343" s="104"/>
      <c r="F343" s="104"/>
      <c r="G343" s="104"/>
      <c r="H343" s="104"/>
    </row>
    <row r="344" spans="1:8">
      <c r="A344" s="62"/>
      <c r="B344" s="104"/>
      <c r="C344" s="104"/>
      <c r="D344" s="104"/>
      <c r="E344" s="104"/>
      <c r="F344" s="104"/>
      <c r="G344" s="104"/>
      <c r="H344" s="104"/>
    </row>
    <row r="345" spans="1:8">
      <c r="A345" s="62"/>
      <c r="B345" s="104"/>
      <c r="C345" s="104"/>
      <c r="D345" s="104"/>
      <c r="E345" s="104"/>
      <c r="F345" s="104"/>
      <c r="G345" s="104"/>
      <c r="H345" s="104"/>
    </row>
    <row r="346" spans="1:8">
      <c r="A346" s="62"/>
      <c r="B346" s="104"/>
      <c r="C346" s="104"/>
      <c r="D346" s="104"/>
      <c r="E346" s="104"/>
      <c r="F346" s="104"/>
      <c r="G346" s="104"/>
      <c r="H346" s="104"/>
    </row>
    <row r="347" spans="1:8">
      <c r="A347" s="62"/>
      <c r="B347" s="104"/>
      <c r="C347" s="104"/>
      <c r="D347" s="104"/>
      <c r="E347" s="104"/>
      <c r="F347" s="104"/>
      <c r="G347" s="104"/>
      <c r="H347" s="104"/>
    </row>
    <row r="348" spans="1:8">
      <c r="A348" s="62"/>
      <c r="B348" s="104"/>
      <c r="C348" s="104"/>
      <c r="D348" s="104"/>
      <c r="E348" s="104"/>
      <c r="F348" s="104"/>
      <c r="G348" s="104"/>
      <c r="H348" s="104"/>
    </row>
    <row r="349" spans="1:8">
      <c r="A349" s="62"/>
      <c r="B349" s="104"/>
      <c r="C349" s="104"/>
      <c r="D349" s="104"/>
      <c r="E349" s="104"/>
      <c r="F349" s="104"/>
      <c r="G349" s="104"/>
      <c r="H349" s="104"/>
    </row>
    <row r="350" spans="1:8">
      <c r="A350" s="62"/>
      <c r="B350" s="104"/>
      <c r="C350" s="104"/>
      <c r="D350" s="104"/>
      <c r="E350" s="104"/>
      <c r="F350" s="104"/>
      <c r="G350" s="104"/>
      <c r="H350" s="104"/>
    </row>
    <row r="351" spans="1:8">
      <c r="A351" s="62"/>
      <c r="B351" s="104"/>
      <c r="C351" s="104"/>
      <c r="D351" s="104"/>
      <c r="E351" s="104"/>
      <c r="F351" s="104"/>
      <c r="G351" s="104"/>
      <c r="H351" s="104"/>
    </row>
    <row r="352" spans="1:8">
      <c r="A352" s="62"/>
      <c r="B352" s="104"/>
      <c r="C352" s="104"/>
      <c r="D352" s="104"/>
      <c r="E352" s="104"/>
      <c r="F352" s="104"/>
      <c r="G352" s="104"/>
      <c r="H352" s="104"/>
    </row>
    <row r="353" spans="1:8">
      <c r="A353" s="62"/>
      <c r="B353" s="104"/>
      <c r="C353" s="104"/>
      <c r="D353" s="104"/>
      <c r="E353" s="104"/>
      <c r="F353" s="104"/>
      <c r="G353" s="104"/>
      <c r="H353" s="104"/>
    </row>
    <row r="354" spans="1:8">
      <c r="A354" s="62"/>
      <c r="B354" s="104"/>
      <c r="C354" s="104"/>
      <c r="D354" s="104"/>
      <c r="E354" s="104"/>
      <c r="F354" s="104"/>
      <c r="G354" s="104"/>
      <c r="H354" s="104"/>
    </row>
    <row r="355" spans="1:8">
      <c r="A355" s="62"/>
      <c r="B355" s="104"/>
      <c r="C355" s="104"/>
      <c r="D355" s="104"/>
      <c r="E355" s="104"/>
      <c r="F355" s="104"/>
      <c r="G355" s="104"/>
      <c r="H355" s="104"/>
    </row>
    <row r="356" spans="1:8">
      <c r="A356" s="62"/>
      <c r="B356" s="104"/>
      <c r="C356" s="104"/>
      <c r="D356" s="104"/>
      <c r="E356" s="104"/>
      <c r="F356" s="104"/>
      <c r="G356" s="104"/>
      <c r="H356" s="104"/>
    </row>
    <row r="357" spans="1:8">
      <c r="A357" s="62"/>
      <c r="B357" s="104"/>
      <c r="C357" s="104"/>
      <c r="D357" s="104"/>
      <c r="E357" s="104"/>
      <c r="F357" s="104"/>
      <c r="G357" s="104"/>
      <c r="H357" s="104"/>
    </row>
    <row r="358" spans="1:8">
      <c r="A358" s="62"/>
      <c r="B358" s="104"/>
      <c r="C358" s="104"/>
      <c r="D358" s="104"/>
      <c r="E358" s="104"/>
      <c r="F358" s="104"/>
      <c r="G358" s="104"/>
      <c r="H358" s="104"/>
    </row>
    <row r="359" spans="1:8">
      <c r="A359" s="62"/>
      <c r="B359" s="104"/>
      <c r="C359" s="104"/>
      <c r="D359" s="104"/>
      <c r="E359" s="104"/>
      <c r="F359" s="104"/>
      <c r="G359" s="104"/>
      <c r="H359" s="104"/>
    </row>
    <row r="360" spans="1:8">
      <c r="A360" s="62"/>
      <c r="B360" s="104"/>
      <c r="C360" s="104"/>
      <c r="D360" s="104"/>
      <c r="E360" s="104"/>
      <c r="F360" s="104"/>
      <c r="G360" s="104"/>
      <c r="H360" s="104"/>
    </row>
    <row r="361" spans="1:8">
      <c r="A361" s="62"/>
      <c r="B361" s="104"/>
      <c r="C361" s="104"/>
      <c r="D361" s="104"/>
      <c r="E361" s="104"/>
      <c r="F361" s="104"/>
      <c r="G361" s="104"/>
      <c r="H361" s="104"/>
    </row>
    <row r="362" spans="1:8">
      <c r="A362" s="62"/>
      <c r="B362" s="104"/>
      <c r="C362" s="104"/>
      <c r="D362" s="104"/>
      <c r="E362" s="104"/>
      <c r="F362" s="104"/>
      <c r="G362" s="104"/>
      <c r="H362" s="104"/>
    </row>
    <row r="363" spans="1:8">
      <c r="A363" s="62"/>
      <c r="B363" s="104"/>
      <c r="C363" s="104"/>
      <c r="D363" s="104"/>
      <c r="E363" s="104"/>
      <c r="F363" s="104"/>
      <c r="G363" s="104"/>
      <c r="H363" s="104"/>
    </row>
    <row r="364" spans="1:8">
      <c r="A364" s="62"/>
      <c r="B364" s="104"/>
      <c r="C364" s="104"/>
      <c r="D364" s="104"/>
      <c r="E364" s="104"/>
      <c r="F364" s="104"/>
      <c r="G364" s="104"/>
      <c r="H364" s="104"/>
    </row>
    <row r="365" spans="1:8">
      <c r="A365" s="62"/>
      <c r="B365" s="104"/>
      <c r="C365" s="104"/>
      <c r="D365" s="104"/>
      <c r="E365" s="104"/>
      <c r="F365" s="104"/>
      <c r="G365" s="104"/>
      <c r="H365" s="104"/>
    </row>
    <row r="366" spans="1:8">
      <c r="A366" s="62"/>
      <c r="B366" s="104"/>
      <c r="C366" s="104"/>
      <c r="D366" s="104"/>
      <c r="E366" s="104"/>
      <c r="F366" s="104"/>
      <c r="G366" s="104"/>
      <c r="H366" s="104"/>
    </row>
    <row r="367" spans="1:8">
      <c r="A367" s="62"/>
      <c r="B367" s="104"/>
      <c r="C367" s="104"/>
      <c r="D367" s="104"/>
      <c r="E367" s="104"/>
      <c r="F367" s="104"/>
      <c r="G367" s="104"/>
      <c r="H367" s="104"/>
    </row>
    <row r="368" spans="1:8">
      <c r="A368" s="62"/>
      <c r="B368" s="104"/>
      <c r="C368" s="104"/>
      <c r="D368" s="104"/>
      <c r="E368" s="104"/>
      <c r="F368" s="104"/>
      <c r="G368" s="104"/>
      <c r="H368" s="104"/>
    </row>
    <row r="369" spans="1:8">
      <c r="A369" s="62"/>
      <c r="B369" s="104"/>
      <c r="C369" s="104"/>
      <c r="D369" s="104"/>
      <c r="E369" s="104"/>
      <c r="F369" s="104"/>
      <c r="G369" s="104"/>
      <c r="H369" s="104"/>
    </row>
    <row r="370" spans="1:8">
      <c r="A370" s="62"/>
      <c r="B370" s="104"/>
      <c r="C370" s="104"/>
      <c r="D370" s="104"/>
      <c r="E370" s="104"/>
      <c r="F370" s="104"/>
      <c r="G370" s="104"/>
      <c r="H370" s="104"/>
    </row>
    <row r="371" spans="1:8">
      <c r="A371" s="62"/>
      <c r="B371" s="104"/>
      <c r="C371" s="104"/>
      <c r="D371" s="104"/>
      <c r="E371" s="104"/>
      <c r="F371" s="104"/>
      <c r="G371" s="104"/>
      <c r="H371" s="104"/>
    </row>
    <row r="372" spans="1:8">
      <c r="A372" s="62"/>
      <c r="B372" s="104"/>
      <c r="C372" s="104"/>
      <c r="D372" s="104"/>
      <c r="E372" s="104"/>
      <c r="F372" s="104"/>
      <c r="G372" s="104"/>
      <c r="H372" s="104"/>
    </row>
    <row r="373" spans="1:8">
      <c r="A373" s="62"/>
      <c r="B373" s="104"/>
      <c r="C373" s="104"/>
      <c r="D373" s="104"/>
      <c r="E373" s="104"/>
      <c r="F373" s="104"/>
      <c r="G373" s="104"/>
      <c r="H373" s="104"/>
    </row>
    <row r="374" spans="1:8">
      <c r="A374" s="62"/>
      <c r="B374" s="104"/>
      <c r="C374" s="104"/>
      <c r="D374" s="104"/>
      <c r="E374" s="104"/>
      <c r="F374" s="104"/>
      <c r="G374" s="104"/>
      <c r="H374" s="104"/>
    </row>
    <row r="375" spans="1:8">
      <c r="A375" s="62"/>
      <c r="B375" s="104"/>
      <c r="C375" s="104"/>
      <c r="D375" s="104"/>
      <c r="E375" s="104"/>
      <c r="F375" s="104"/>
      <c r="G375" s="104"/>
      <c r="H375" s="104"/>
    </row>
    <row r="376" spans="1:8">
      <c r="A376" s="62"/>
      <c r="B376" s="104"/>
      <c r="C376" s="104"/>
      <c r="D376" s="104"/>
      <c r="E376" s="104"/>
      <c r="F376" s="104"/>
      <c r="G376" s="104"/>
      <c r="H376" s="104"/>
    </row>
    <row r="377" spans="1:8">
      <c r="A377" s="62"/>
      <c r="B377" s="104"/>
      <c r="C377" s="104"/>
      <c r="D377" s="104"/>
      <c r="E377" s="104"/>
      <c r="F377" s="104"/>
      <c r="G377" s="104"/>
      <c r="H377" s="104"/>
    </row>
    <row r="378" spans="1:8">
      <c r="A378" s="62"/>
      <c r="B378" s="104"/>
      <c r="C378" s="104"/>
      <c r="D378" s="104"/>
      <c r="E378" s="104"/>
      <c r="F378" s="104"/>
      <c r="G378" s="104"/>
      <c r="H378" s="104"/>
    </row>
    <row r="379" spans="1:8">
      <c r="A379" s="62"/>
      <c r="B379" s="104"/>
      <c r="C379" s="104"/>
      <c r="D379" s="104"/>
      <c r="E379" s="104"/>
      <c r="F379" s="104"/>
      <c r="G379" s="104"/>
      <c r="H379" s="104"/>
    </row>
    <row r="380" spans="1:8">
      <c r="A380" s="62"/>
      <c r="B380" s="104"/>
      <c r="C380" s="104"/>
      <c r="D380" s="104"/>
      <c r="E380" s="104"/>
      <c r="F380" s="104"/>
      <c r="G380" s="104"/>
      <c r="H380" s="104"/>
    </row>
    <row r="381" spans="1:8">
      <c r="A381" s="62"/>
      <c r="B381" s="104"/>
      <c r="C381" s="104"/>
      <c r="D381" s="104"/>
      <c r="E381" s="104"/>
      <c r="F381" s="104"/>
      <c r="G381" s="104"/>
      <c r="H381" s="104"/>
    </row>
    <row r="382" spans="1:8">
      <c r="A382" s="62"/>
      <c r="B382" s="104"/>
      <c r="C382" s="104"/>
      <c r="D382" s="104"/>
      <c r="E382" s="104"/>
      <c r="F382" s="104"/>
      <c r="G382" s="104"/>
      <c r="H382" s="104"/>
    </row>
    <row r="383" spans="1:8">
      <c r="A383" s="62"/>
      <c r="B383" s="104"/>
      <c r="C383" s="104"/>
      <c r="D383" s="104"/>
      <c r="E383" s="104"/>
      <c r="F383" s="104"/>
      <c r="G383" s="104"/>
      <c r="H383" s="104"/>
    </row>
    <row r="384" spans="1:8">
      <c r="A384" s="62"/>
      <c r="B384" s="104"/>
      <c r="C384" s="104"/>
      <c r="D384" s="104"/>
      <c r="E384" s="104"/>
      <c r="F384" s="104"/>
      <c r="G384" s="104"/>
      <c r="H384" s="104"/>
    </row>
    <row r="385" spans="1:8">
      <c r="A385" s="62"/>
      <c r="B385" s="104"/>
      <c r="C385" s="104"/>
      <c r="D385" s="104"/>
      <c r="E385" s="104"/>
      <c r="F385" s="104"/>
      <c r="G385" s="104"/>
      <c r="H385" s="104"/>
    </row>
    <row r="386" spans="1:8">
      <c r="A386" s="62"/>
      <c r="B386" s="104"/>
      <c r="C386" s="104"/>
      <c r="D386" s="104"/>
      <c r="E386" s="104"/>
      <c r="F386" s="104"/>
      <c r="G386" s="104"/>
      <c r="H386" s="104"/>
    </row>
    <row r="387" spans="1:8">
      <c r="A387" s="62"/>
      <c r="B387" s="104"/>
      <c r="C387" s="104"/>
      <c r="D387" s="104"/>
      <c r="E387" s="104"/>
      <c r="F387" s="104"/>
      <c r="G387" s="104"/>
      <c r="H387" s="104"/>
    </row>
    <row r="388" spans="1:8">
      <c r="A388" s="62"/>
      <c r="B388" s="104"/>
      <c r="C388" s="104"/>
      <c r="D388" s="104"/>
      <c r="E388" s="104"/>
      <c r="F388" s="104"/>
      <c r="G388" s="104"/>
      <c r="H388" s="104"/>
    </row>
    <row r="389" spans="1:8">
      <c r="A389" s="62"/>
      <c r="B389" s="104"/>
      <c r="C389" s="104"/>
      <c r="D389" s="104"/>
      <c r="E389" s="104"/>
      <c r="F389" s="104"/>
      <c r="G389" s="104"/>
      <c r="H389" s="104"/>
    </row>
    <row r="390" spans="1:8">
      <c r="A390" s="62"/>
      <c r="B390" s="104"/>
      <c r="C390" s="104"/>
      <c r="D390" s="104"/>
      <c r="E390" s="104"/>
      <c r="F390" s="104"/>
      <c r="G390" s="104"/>
      <c r="H390" s="104"/>
    </row>
    <row r="391" spans="1:8">
      <c r="A391" s="62"/>
      <c r="B391" s="104"/>
      <c r="C391" s="104"/>
      <c r="D391" s="104"/>
      <c r="E391" s="104"/>
      <c r="F391" s="104"/>
      <c r="G391" s="104"/>
      <c r="H391" s="104"/>
    </row>
    <row r="392" spans="1:8">
      <c r="A392" s="62"/>
      <c r="B392" s="104"/>
      <c r="C392" s="104"/>
      <c r="D392" s="104"/>
      <c r="E392" s="104"/>
      <c r="F392" s="104"/>
      <c r="G392" s="104"/>
      <c r="H392" s="104"/>
    </row>
    <row r="393" spans="1:8">
      <c r="A393" s="62"/>
      <c r="B393" s="104"/>
      <c r="C393" s="104"/>
      <c r="D393" s="104"/>
      <c r="E393" s="104"/>
      <c r="F393" s="104"/>
      <c r="G393" s="104"/>
      <c r="H393" s="104"/>
    </row>
    <row r="394" spans="1:8">
      <c r="A394" s="62"/>
      <c r="B394" s="104"/>
      <c r="C394" s="104"/>
      <c r="D394" s="104"/>
      <c r="E394" s="104"/>
      <c r="F394" s="104"/>
      <c r="G394" s="104"/>
      <c r="H394" s="104"/>
    </row>
    <row r="395" spans="1:8">
      <c r="A395" s="62"/>
      <c r="B395" s="104"/>
      <c r="C395" s="104"/>
      <c r="D395" s="104"/>
      <c r="E395" s="104"/>
      <c r="F395" s="104"/>
      <c r="G395" s="104"/>
      <c r="H395" s="104"/>
    </row>
    <row r="396" spans="1:8">
      <c r="A396" s="62"/>
      <c r="B396" s="104"/>
      <c r="C396" s="104"/>
      <c r="D396" s="104"/>
      <c r="E396" s="104"/>
      <c r="F396" s="104"/>
      <c r="G396" s="104"/>
      <c r="H396" s="104"/>
    </row>
    <row r="397" spans="1:8">
      <c r="A397" s="62"/>
      <c r="B397" s="104"/>
      <c r="C397" s="104"/>
      <c r="D397" s="104"/>
      <c r="E397" s="104"/>
      <c r="F397" s="104"/>
      <c r="G397" s="104"/>
      <c r="H397" s="104"/>
    </row>
    <row r="398" spans="1:8">
      <c r="A398" s="62"/>
      <c r="B398" s="104"/>
      <c r="C398" s="104"/>
      <c r="D398" s="104"/>
      <c r="E398" s="104"/>
      <c r="F398" s="104"/>
      <c r="G398" s="104"/>
      <c r="H398" s="104"/>
    </row>
    <row r="399" spans="1:8">
      <c r="A399" s="62"/>
      <c r="B399" s="104"/>
      <c r="C399" s="104"/>
      <c r="D399" s="104"/>
      <c r="E399" s="104"/>
      <c r="F399" s="104"/>
      <c r="G399" s="104"/>
      <c r="H399" s="104"/>
    </row>
    <row r="400" spans="1:8">
      <c r="A400" s="62"/>
      <c r="B400" s="104"/>
      <c r="C400" s="104"/>
      <c r="D400" s="104"/>
      <c r="E400" s="104"/>
      <c r="F400" s="104"/>
      <c r="G400" s="104"/>
      <c r="H400" s="104"/>
    </row>
    <row r="401" spans="1:8">
      <c r="A401" s="62"/>
      <c r="B401" s="104"/>
      <c r="C401" s="104"/>
      <c r="D401" s="104"/>
      <c r="E401" s="104"/>
      <c r="F401" s="104"/>
      <c r="G401" s="104"/>
      <c r="H401" s="104"/>
    </row>
    <row r="402" spans="1:8">
      <c r="A402" s="62"/>
      <c r="B402" s="104"/>
      <c r="C402" s="104"/>
      <c r="D402" s="104"/>
      <c r="E402" s="104"/>
      <c r="F402" s="104"/>
      <c r="G402" s="104"/>
      <c r="H402" s="104"/>
    </row>
    <row r="403" spans="1:8">
      <c r="A403" s="62"/>
      <c r="B403" s="104"/>
      <c r="C403" s="104"/>
      <c r="D403" s="104"/>
      <c r="E403" s="104"/>
      <c r="F403" s="104"/>
      <c r="G403" s="104"/>
      <c r="H403" s="104"/>
    </row>
    <row r="404" spans="1:8">
      <c r="A404" s="62"/>
      <c r="B404" s="104"/>
      <c r="C404" s="104"/>
      <c r="D404" s="104"/>
      <c r="E404" s="104"/>
      <c r="F404" s="104"/>
      <c r="G404" s="104"/>
      <c r="H404" s="104"/>
    </row>
    <row r="405" spans="1:8">
      <c r="A405" s="62"/>
      <c r="B405" s="104"/>
      <c r="C405" s="104"/>
      <c r="D405" s="104"/>
      <c r="E405" s="104"/>
      <c r="F405" s="104"/>
      <c r="G405" s="104"/>
      <c r="H405" s="104"/>
    </row>
    <row r="406" spans="1:8">
      <c r="A406" s="62"/>
      <c r="B406" s="104"/>
      <c r="C406" s="104"/>
      <c r="D406" s="104"/>
      <c r="E406" s="104"/>
      <c r="F406" s="104"/>
      <c r="G406" s="104"/>
      <c r="H406" s="104"/>
    </row>
    <row r="407" spans="1:8">
      <c r="A407" s="62"/>
      <c r="B407" s="104"/>
      <c r="C407" s="104"/>
      <c r="D407" s="104"/>
      <c r="E407" s="104"/>
      <c r="F407" s="104"/>
      <c r="G407" s="104"/>
      <c r="H407" s="104"/>
    </row>
    <row r="408" spans="1:8">
      <c r="A408" s="62"/>
      <c r="B408" s="104"/>
      <c r="C408" s="104"/>
      <c r="D408" s="104"/>
      <c r="E408" s="104"/>
      <c r="F408" s="104"/>
      <c r="G408" s="104"/>
      <c r="H408" s="104"/>
    </row>
    <row r="409" spans="1:8">
      <c r="A409" s="62"/>
      <c r="B409" s="104"/>
      <c r="C409" s="104"/>
      <c r="D409" s="104"/>
      <c r="E409" s="104"/>
      <c r="F409" s="104"/>
      <c r="G409" s="104"/>
      <c r="H409" s="104"/>
    </row>
    <row r="410" spans="1:8">
      <c r="A410" s="62"/>
      <c r="B410" s="104"/>
      <c r="C410" s="104"/>
      <c r="D410" s="104"/>
      <c r="E410" s="104"/>
      <c r="F410" s="104"/>
      <c r="G410" s="104"/>
      <c r="H410" s="104"/>
    </row>
    <row r="411" spans="1:8">
      <c r="A411" s="62"/>
      <c r="B411" s="104"/>
      <c r="C411" s="104"/>
      <c r="D411" s="104"/>
      <c r="E411" s="104"/>
      <c r="F411" s="104"/>
      <c r="G411" s="104"/>
      <c r="H411" s="104"/>
    </row>
    <row r="412" spans="1:8">
      <c r="A412" s="62"/>
      <c r="B412" s="104"/>
      <c r="C412" s="104"/>
      <c r="D412" s="104"/>
      <c r="E412" s="104"/>
      <c r="F412" s="104"/>
      <c r="G412" s="104"/>
      <c r="H412" s="104"/>
    </row>
    <row r="413" spans="1:8">
      <c r="A413" s="62"/>
      <c r="B413" s="104"/>
      <c r="C413" s="104"/>
      <c r="D413" s="104"/>
      <c r="E413" s="104"/>
      <c r="F413" s="104"/>
      <c r="G413" s="104"/>
      <c r="H413" s="104"/>
    </row>
    <row r="414" spans="1:8">
      <c r="A414" s="62"/>
      <c r="B414" s="104"/>
      <c r="C414" s="104"/>
      <c r="D414" s="104"/>
      <c r="E414" s="104"/>
      <c r="F414" s="104"/>
      <c r="G414" s="104"/>
      <c r="H414" s="104"/>
    </row>
    <row r="415" spans="1:8">
      <c r="A415" s="62"/>
      <c r="B415" s="104"/>
      <c r="C415" s="104"/>
      <c r="D415" s="104"/>
      <c r="E415" s="104"/>
      <c r="F415" s="104"/>
      <c r="G415" s="104"/>
      <c r="H415" s="104"/>
    </row>
    <row r="416" spans="1:8">
      <c r="A416" s="62"/>
      <c r="B416" s="104"/>
      <c r="C416" s="104"/>
      <c r="D416" s="104"/>
      <c r="E416" s="104"/>
      <c r="F416" s="104"/>
      <c r="G416" s="104"/>
      <c r="H416" s="104"/>
    </row>
    <row r="417" spans="1:8">
      <c r="A417" s="62"/>
      <c r="B417" s="104"/>
      <c r="C417" s="104"/>
      <c r="D417" s="104"/>
      <c r="E417" s="104"/>
      <c r="F417" s="104"/>
      <c r="G417" s="104"/>
      <c r="H417" s="104"/>
    </row>
    <row r="418" spans="1:8">
      <c r="A418" s="62"/>
      <c r="B418" s="104"/>
      <c r="C418" s="104"/>
      <c r="D418" s="104"/>
      <c r="E418" s="104"/>
      <c r="F418" s="104"/>
      <c r="G418" s="104"/>
      <c r="H418" s="104"/>
    </row>
    <row r="419" spans="1:8">
      <c r="A419" s="62"/>
      <c r="B419" s="104"/>
      <c r="C419" s="104"/>
      <c r="D419" s="104"/>
      <c r="E419" s="104"/>
      <c r="F419" s="104"/>
      <c r="G419" s="104"/>
      <c r="H419" s="104"/>
    </row>
    <row r="420" spans="1:8">
      <c r="A420" s="62"/>
      <c r="B420" s="104"/>
      <c r="C420" s="104"/>
      <c r="D420" s="104"/>
      <c r="E420" s="104"/>
      <c r="F420" s="104"/>
      <c r="G420" s="104"/>
      <c r="H420" s="104"/>
    </row>
    <row r="421" spans="1:8">
      <c r="A421" s="62"/>
      <c r="B421" s="104"/>
      <c r="C421" s="104"/>
      <c r="D421" s="104"/>
      <c r="E421" s="104"/>
      <c r="F421" s="104"/>
      <c r="G421" s="104"/>
      <c r="H421" s="104"/>
    </row>
    <row r="422" spans="1:8">
      <c r="A422" s="62"/>
      <c r="B422" s="104"/>
      <c r="C422" s="104"/>
      <c r="D422" s="104"/>
      <c r="E422" s="104"/>
      <c r="F422" s="104"/>
      <c r="G422" s="104"/>
      <c r="H422" s="104"/>
    </row>
    <row r="423" spans="1:8">
      <c r="A423" s="62"/>
      <c r="B423" s="104"/>
      <c r="C423" s="104"/>
      <c r="D423" s="104"/>
      <c r="E423" s="104"/>
      <c r="F423" s="104"/>
      <c r="G423" s="104"/>
      <c r="H423" s="104"/>
    </row>
    <row r="424" spans="1:8">
      <c r="A424" s="62"/>
      <c r="B424" s="104"/>
      <c r="C424" s="104"/>
      <c r="D424" s="104"/>
      <c r="E424" s="104"/>
      <c r="F424" s="104"/>
      <c r="G424" s="104"/>
      <c r="H424" s="104"/>
    </row>
    <row r="425" spans="1:8">
      <c r="A425" s="62"/>
      <c r="B425" s="104"/>
      <c r="C425" s="104"/>
      <c r="D425" s="104"/>
      <c r="E425" s="104"/>
      <c r="F425" s="104"/>
      <c r="G425" s="104"/>
      <c r="H425" s="104"/>
    </row>
    <row r="426" spans="1:8">
      <c r="A426" s="62"/>
      <c r="B426" s="104"/>
      <c r="C426" s="104"/>
      <c r="D426" s="104"/>
      <c r="E426" s="104"/>
      <c r="F426" s="104"/>
      <c r="G426" s="104"/>
      <c r="H426" s="104"/>
    </row>
    <row r="427" spans="1:8">
      <c r="A427" s="62"/>
      <c r="B427" s="104"/>
      <c r="C427" s="104"/>
      <c r="D427" s="104"/>
      <c r="E427" s="104"/>
      <c r="F427" s="104"/>
      <c r="G427" s="104"/>
      <c r="H427" s="104"/>
    </row>
    <row r="428" spans="1:8">
      <c r="A428" s="62"/>
      <c r="B428" s="104"/>
      <c r="C428" s="104"/>
      <c r="D428" s="104"/>
      <c r="E428" s="104"/>
      <c r="F428" s="104"/>
      <c r="G428" s="104"/>
      <c r="H428" s="104"/>
    </row>
    <row r="429" spans="1:8">
      <c r="A429" s="62"/>
      <c r="B429" s="104"/>
      <c r="C429" s="104"/>
      <c r="D429" s="104"/>
      <c r="E429" s="104"/>
      <c r="F429" s="104"/>
      <c r="G429" s="104"/>
      <c r="H429" s="104"/>
    </row>
    <row r="430" spans="1:8">
      <c r="A430" s="62"/>
      <c r="B430" s="104"/>
      <c r="C430" s="104"/>
      <c r="D430" s="104"/>
      <c r="E430" s="104"/>
      <c r="F430" s="104"/>
      <c r="G430" s="104"/>
      <c r="H430" s="104"/>
    </row>
    <row r="431" spans="1:8">
      <c r="A431" s="62"/>
      <c r="B431" s="104"/>
      <c r="C431" s="104"/>
      <c r="D431" s="104"/>
      <c r="E431" s="104"/>
      <c r="F431" s="104"/>
      <c r="G431" s="104"/>
      <c r="H431" s="104"/>
    </row>
    <row r="432" spans="1:8">
      <c r="A432" s="62"/>
      <c r="B432" s="104"/>
      <c r="C432" s="104"/>
      <c r="D432" s="104"/>
      <c r="E432" s="104"/>
      <c r="F432" s="104"/>
      <c r="G432" s="104"/>
      <c r="H432" s="104"/>
    </row>
    <row r="433" spans="1:8">
      <c r="A433" s="62"/>
      <c r="B433" s="104"/>
      <c r="C433" s="104"/>
      <c r="D433" s="104"/>
      <c r="E433" s="104"/>
      <c r="F433" s="104"/>
      <c r="G433" s="104"/>
      <c r="H433" s="104"/>
    </row>
    <row r="434" spans="1:8">
      <c r="A434" s="62"/>
      <c r="B434" s="104"/>
      <c r="C434" s="104"/>
      <c r="D434" s="104"/>
      <c r="E434" s="104"/>
      <c r="F434" s="104"/>
      <c r="G434" s="104"/>
      <c r="H434" s="104"/>
    </row>
    <row r="435" spans="1:8">
      <c r="A435" s="62"/>
      <c r="B435" s="104"/>
      <c r="C435" s="104"/>
      <c r="D435" s="104"/>
      <c r="E435" s="104"/>
      <c r="F435" s="104"/>
      <c r="G435" s="104"/>
      <c r="H435" s="104"/>
    </row>
    <row r="436" spans="1:8">
      <c r="A436" s="62"/>
      <c r="B436" s="104"/>
      <c r="C436" s="104"/>
      <c r="D436" s="104"/>
      <c r="E436" s="104"/>
      <c r="F436" s="104"/>
      <c r="G436" s="104"/>
      <c r="H436" s="104"/>
    </row>
    <row r="437" spans="1:8">
      <c r="A437" s="62"/>
      <c r="B437" s="104"/>
      <c r="C437" s="104"/>
      <c r="D437" s="104"/>
      <c r="E437" s="104"/>
      <c r="F437" s="104"/>
      <c r="G437" s="104"/>
      <c r="H437" s="104"/>
    </row>
    <row r="438" spans="1:8">
      <c r="A438" s="62"/>
      <c r="B438" s="104"/>
      <c r="C438" s="104"/>
      <c r="D438" s="104"/>
      <c r="E438" s="104"/>
      <c r="F438" s="104"/>
      <c r="G438" s="104"/>
      <c r="H438" s="104"/>
    </row>
    <row r="439" spans="1:8">
      <c r="A439" s="62"/>
      <c r="B439" s="104"/>
      <c r="C439" s="104"/>
      <c r="D439" s="104"/>
      <c r="E439" s="104"/>
      <c r="F439" s="104"/>
      <c r="G439" s="104"/>
      <c r="H439" s="104"/>
    </row>
    <row r="440" spans="1:8">
      <c r="A440" s="62"/>
      <c r="B440" s="104"/>
      <c r="C440" s="104"/>
      <c r="D440" s="104"/>
      <c r="E440" s="104"/>
      <c r="F440" s="104"/>
      <c r="G440" s="104"/>
      <c r="H440" s="104"/>
    </row>
    <row r="441" spans="1:8">
      <c r="A441" s="62"/>
      <c r="B441" s="104"/>
      <c r="C441" s="104"/>
      <c r="D441" s="104"/>
      <c r="E441" s="104"/>
      <c r="F441" s="104"/>
      <c r="G441" s="104"/>
      <c r="H441" s="104"/>
    </row>
    <row r="442" spans="1:8">
      <c r="A442" s="62"/>
      <c r="B442" s="104"/>
      <c r="C442" s="104"/>
      <c r="D442" s="104"/>
      <c r="E442" s="104"/>
      <c r="F442" s="104"/>
      <c r="G442" s="104"/>
      <c r="H442" s="104"/>
    </row>
    <row r="443" spans="1:8">
      <c r="A443" s="62"/>
      <c r="B443" s="104"/>
      <c r="C443" s="104"/>
      <c r="D443" s="104"/>
      <c r="E443" s="104"/>
      <c r="F443" s="104"/>
      <c r="G443" s="104"/>
      <c r="H443" s="104"/>
    </row>
    <row r="444" spans="1:8">
      <c r="A444" s="62"/>
      <c r="B444" s="104"/>
      <c r="C444" s="104"/>
      <c r="D444" s="104"/>
      <c r="E444" s="104"/>
      <c r="F444" s="104"/>
      <c r="G444" s="104"/>
      <c r="H444" s="104"/>
    </row>
    <row r="445" spans="1:8">
      <c r="A445" s="62"/>
      <c r="B445" s="104"/>
      <c r="C445" s="104"/>
      <c r="D445" s="104"/>
      <c r="E445" s="104"/>
      <c r="F445" s="104"/>
      <c r="G445" s="104"/>
      <c r="H445" s="104"/>
    </row>
    <row r="446" spans="1:8">
      <c r="A446" s="62"/>
      <c r="B446" s="104"/>
      <c r="C446" s="104"/>
      <c r="D446" s="104"/>
      <c r="E446" s="104"/>
      <c r="F446" s="104"/>
      <c r="G446" s="104"/>
      <c r="H446" s="104"/>
    </row>
    <row r="447" spans="1:8">
      <c r="A447" s="62"/>
      <c r="B447" s="104"/>
      <c r="C447" s="104"/>
      <c r="D447" s="104"/>
      <c r="E447" s="104"/>
      <c r="F447" s="104"/>
      <c r="G447" s="104"/>
      <c r="H447" s="104"/>
    </row>
    <row r="448" spans="1:8">
      <c r="A448" s="62"/>
      <c r="B448" s="104"/>
      <c r="C448" s="104"/>
      <c r="D448" s="104"/>
      <c r="E448" s="104"/>
      <c r="F448" s="104"/>
      <c r="G448" s="104"/>
      <c r="H448" s="104"/>
    </row>
    <row r="449" spans="1:8">
      <c r="A449" s="62"/>
      <c r="B449" s="104"/>
      <c r="C449" s="104"/>
      <c r="D449" s="104"/>
      <c r="E449" s="104"/>
      <c r="F449" s="104"/>
      <c r="G449" s="104"/>
      <c r="H449" s="104"/>
    </row>
    <row r="450" spans="1:8">
      <c r="A450" s="62"/>
      <c r="B450" s="104"/>
      <c r="C450" s="104"/>
      <c r="D450" s="104"/>
      <c r="E450" s="104"/>
      <c r="F450" s="104"/>
      <c r="G450" s="104"/>
      <c r="H450" s="104"/>
    </row>
    <row r="451" spans="1:8">
      <c r="A451" s="62"/>
      <c r="B451" s="104"/>
      <c r="C451" s="104"/>
      <c r="D451" s="104"/>
      <c r="E451" s="104"/>
      <c r="F451" s="104"/>
      <c r="G451" s="104"/>
      <c r="H451" s="104"/>
    </row>
    <row r="452" spans="1:8">
      <c r="A452" s="62"/>
      <c r="B452" s="104"/>
      <c r="C452" s="104"/>
      <c r="D452" s="104"/>
      <c r="E452" s="104"/>
      <c r="F452" s="104"/>
      <c r="G452" s="104"/>
      <c r="H452" s="104"/>
    </row>
    <row r="453" spans="1:8">
      <c r="A453" s="62"/>
      <c r="B453" s="104"/>
      <c r="C453" s="104"/>
      <c r="D453" s="104"/>
      <c r="E453" s="104"/>
      <c r="F453" s="104"/>
      <c r="G453" s="104"/>
      <c r="H453" s="104"/>
    </row>
    <row r="454" spans="1:8">
      <c r="A454" s="62"/>
      <c r="B454" s="104"/>
      <c r="C454" s="104"/>
      <c r="D454" s="104"/>
      <c r="E454" s="104"/>
      <c r="F454" s="104"/>
      <c r="G454" s="104"/>
      <c r="H454" s="104"/>
    </row>
    <row r="455" spans="1:8">
      <c r="A455" s="62"/>
      <c r="B455" s="104"/>
      <c r="C455" s="104"/>
      <c r="D455" s="104"/>
      <c r="E455" s="104"/>
      <c r="F455" s="104"/>
      <c r="G455" s="104"/>
      <c r="H455" s="104"/>
    </row>
    <row r="456" spans="1:8">
      <c r="A456" s="62"/>
      <c r="B456" s="104"/>
      <c r="C456" s="104"/>
      <c r="D456" s="104"/>
      <c r="E456" s="104"/>
      <c r="F456" s="104"/>
      <c r="G456" s="104"/>
      <c r="H456" s="104"/>
    </row>
    <row r="457" spans="1:8">
      <c r="A457" s="62"/>
      <c r="B457" s="104"/>
      <c r="C457" s="104"/>
      <c r="D457" s="104"/>
      <c r="E457" s="104"/>
      <c r="F457" s="104"/>
      <c r="G457" s="104"/>
      <c r="H457" s="104"/>
    </row>
    <row r="458" spans="1:8">
      <c r="A458" s="62"/>
      <c r="B458" s="104"/>
      <c r="C458" s="104"/>
      <c r="D458" s="104"/>
      <c r="E458" s="104"/>
      <c r="F458" s="104"/>
      <c r="G458" s="104"/>
      <c r="H458" s="104"/>
    </row>
    <row r="459" spans="1:8">
      <c r="A459" s="62"/>
      <c r="B459" s="104"/>
      <c r="C459" s="104"/>
      <c r="D459" s="104"/>
      <c r="E459" s="104"/>
      <c r="F459" s="104"/>
      <c r="G459" s="104"/>
      <c r="H459" s="104"/>
    </row>
    <row r="460" spans="1:8">
      <c r="A460" s="62"/>
      <c r="B460" s="104"/>
      <c r="C460" s="104"/>
      <c r="D460" s="104"/>
      <c r="E460" s="104"/>
      <c r="F460" s="104"/>
      <c r="G460" s="104"/>
      <c r="H460" s="104"/>
    </row>
    <row r="461" spans="1:8">
      <c r="A461" s="62"/>
      <c r="B461" s="104"/>
      <c r="C461" s="104"/>
      <c r="D461" s="104"/>
      <c r="E461" s="104"/>
      <c r="F461" s="104"/>
      <c r="G461" s="104"/>
      <c r="H461" s="104"/>
    </row>
    <row r="462" spans="1:8">
      <c r="A462" s="62"/>
      <c r="B462" s="104"/>
      <c r="C462" s="104"/>
      <c r="D462" s="104"/>
      <c r="E462" s="104"/>
      <c r="F462" s="104"/>
      <c r="G462" s="104"/>
      <c r="H462" s="104"/>
    </row>
    <row r="463" spans="1:8">
      <c r="A463" s="62"/>
      <c r="B463" s="104"/>
      <c r="C463" s="104"/>
      <c r="D463" s="104"/>
      <c r="E463" s="104"/>
      <c r="F463" s="104"/>
      <c r="G463" s="104"/>
      <c r="H463" s="104"/>
    </row>
    <row r="464" spans="1:8">
      <c r="A464" s="62"/>
      <c r="B464" s="104"/>
      <c r="C464" s="104"/>
      <c r="D464" s="104"/>
      <c r="E464" s="104"/>
      <c r="F464" s="104"/>
      <c r="G464" s="104"/>
      <c r="H464" s="104"/>
    </row>
    <row r="465" spans="1:8">
      <c r="A465" s="62"/>
      <c r="B465" s="104"/>
      <c r="C465" s="104"/>
      <c r="D465" s="104"/>
      <c r="E465" s="104"/>
      <c r="F465" s="104"/>
      <c r="G465" s="104"/>
      <c r="H465" s="104"/>
    </row>
    <row r="466" spans="1:8">
      <c r="A466" s="62"/>
      <c r="B466" s="104"/>
      <c r="C466" s="104"/>
      <c r="D466" s="104"/>
      <c r="E466" s="104"/>
      <c r="F466" s="104"/>
      <c r="G466" s="104"/>
      <c r="H466" s="104"/>
    </row>
    <row r="467" spans="1:8">
      <c r="A467" s="62"/>
      <c r="B467" s="104"/>
      <c r="C467" s="104"/>
      <c r="D467" s="104"/>
      <c r="E467" s="104"/>
      <c r="F467" s="104"/>
      <c r="G467" s="104"/>
      <c r="H467" s="104"/>
    </row>
    <row r="468" spans="1:8">
      <c r="A468" s="62"/>
      <c r="B468" s="104"/>
      <c r="C468" s="104"/>
      <c r="D468" s="104"/>
      <c r="E468" s="104"/>
      <c r="F468" s="104"/>
      <c r="G468" s="104"/>
      <c r="H468" s="104"/>
    </row>
    <row r="469" spans="1:8">
      <c r="A469" s="62"/>
      <c r="B469" s="104"/>
      <c r="C469" s="104"/>
      <c r="D469" s="104"/>
      <c r="E469" s="104"/>
      <c r="F469" s="104"/>
      <c r="G469" s="104"/>
      <c r="H469" s="104"/>
    </row>
    <row r="470" spans="1:8">
      <c r="A470" s="62"/>
      <c r="B470" s="104"/>
      <c r="C470" s="104"/>
      <c r="D470" s="104"/>
      <c r="E470" s="104"/>
      <c r="F470" s="104"/>
      <c r="G470" s="104"/>
      <c r="H470" s="104"/>
    </row>
    <row r="471" spans="1:8">
      <c r="A471" s="62"/>
      <c r="B471" s="104"/>
      <c r="C471" s="104"/>
      <c r="D471" s="104"/>
      <c r="E471" s="104"/>
      <c r="F471" s="104"/>
      <c r="G471" s="104"/>
      <c r="H471" s="104"/>
    </row>
    <row r="472" spans="1:8">
      <c r="A472" s="62"/>
      <c r="B472" s="104"/>
      <c r="C472" s="104"/>
      <c r="D472" s="104"/>
      <c r="E472" s="104"/>
      <c r="F472" s="104"/>
      <c r="G472" s="104"/>
      <c r="H472" s="104"/>
    </row>
    <row r="473" spans="1:8">
      <c r="A473" s="62"/>
      <c r="B473" s="104"/>
      <c r="C473" s="104"/>
      <c r="D473" s="104"/>
      <c r="E473" s="104"/>
      <c r="F473" s="104"/>
      <c r="G473" s="104"/>
      <c r="H473" s="104"/>
    </row>
    <row r="474" spans="1:8">
      <c r="A474" s="62"/>
      <c r="B474" s="104"/>
      <c r="C474" s="104"/>
      <c r="D474" s="104"/>
      <c r="E474" s="104"/>
      <c r="F474" s="104"/>
      <c r="G474" s="104"/>
      <c r="H474" s="104"/>
    </row>
    <row r="475" spans="1:8">
      <c r="A475" s="62"/>
      <c r="B475" s="104"/>
      <c r="C475" s="104"/>
      <c r="D475" s="104"/>
      <c r="E475" s="104"/>
      <c r="F475" s="104"/>
      <c r="G475" s="104"/>
      <c r="H475" s="104"/>
    </row>
    <row r="476" spans="1:8">
      <c r="A476" s="62"/>
      <c r="B476" s="104"/>
      <c r="C476" s="104"/>
      <c r="D476" s="104"/>
      <c r="E476" s="104"/>
      <c r="F476" s="104"/>
      <c r="G476" s="104"/>
      <c r="H476" s="104"/>
    </row>
    <row r="477" spans="1:8">
      <c r="A477" s="62"/>
      <c r="B477" s="104"/>
      <c r="C477" s="104"/>
      <c r="D477" s="104"/>
      <c r="E477" s="104"/>
      <c r="F477" s="104"/>
      <c r="G477" s="104"/>
      <c r="H477" s="104"/>
    </row>
    <row r="478" spans="1:8">
      <c r="A478" s="62"/>
      <c r="B478" s="104"/>
      <c r="C478" s="104"/>
      <c r="D478" s="104"/>
      <c r="E478" s="104"/>
      <c r="F478" s="104"/>
      <c r="G478" s="104"/>
      <c r="H478" s="104"/>
    </row>
    <row r="479" spans="1:8">
      <c r="A479" s="62"/>
      <c r="B479" s="104"/>
      <c r="C479" s="104"/>
      <c r="D479" s="104"/>
      <c r="E479" s="104"/>
      <c r="F479" s="104"/>
      <c r="G479" s="104"/>
      <c r="H479" s="104"/>
    </row>
    <row r="480" spans="1:8">
      <c r="A480" s="62"/>
      <c r="B480" s="104"/>
      <c r="C480" s="104"/>
      <c r="D480" s="104"/>
      <c r="E480" s="104"/>
      <c r="F480" s="104"/>
      <c r="G480" s="104"/>
      <c r="H480" s="104"/>
    </row>
    <row r="481" spans="1:8">
      <c r="A481" s="62"/>
      <c r="B481" s="104"/>
      <c r="C481" s="104"/>
      <c r="D481" s="104"/>
      <c r="E481" s="104"/>
      <c r="F481" s="104"/>
      <c r="G481" s="104"/>
      <c r="H481" s="104"/>
    </row>
    <row r="482" spans="1:8">
      <c r="A482" s="62"/>
      <c r="B482" s="104"/>
      <c r="C482" s="104"/>
      <c r="D482" s="104"/>
      <c r="E482" s="104"/>
      <c r="F482" s="104"/>
      <c r="G482" s="104"/>
      <c r="H482" s="104"/>
    </row>
    <row r="483" spans="1:8">
      <c r="A483" s="62"/>
      <c r="B483" s="104"/>
      <c r="C483" s="104"/>
      <c r="D483" s="104"/>
      <c r="E483" s="104"/>
      <c r="F483" s="104"/>
      <c r="G483" s="104"/>
      <c r="H483" s="104"/>
    </row>
    <row r="484" spans="1:8">
      <c r="A484" s="62"/>
      <c r="B484" s="104"/>
      <c r="C484" s="104"/>
      <c r="D484" s="104"/>
      <c r="E484" s="104"/>
      <c r="F484" s="104"/>
      <c r="G484" s="104"/>
      <c r="H484" s="104"/>
    </row>
    <row r="485" spans="1:8">
      <c r="A485" s="62"/>
      <c r="B485" s="104"/>
      <c r="C485" s="104"/>
      <c r="D485" s="104"/>
      <c r="E485" s="104"/>
      <c r="F485" s="104"/>
      <c r="G485" s="104"/>
      <c r="H485" s="104"/>
    </row>
    <row r="486" spans="1:8">
      <c r="A486" s="62"/>
      <c r="B486" s="104"/>
      <c r="C486" s="104"/>
      <c r="D486" s="104"/>
      <c r="E486" s="104"/>
      <c r="F486" s="104"/>
      <c r="G486" s="104"/>
      <c r="H486" s="104"/>
    </row>
    <row r="487" spans="1:8">
      <c r="A487" s="62"/>
      <c r="B487" s="104"/>
      <c r="C487" s="104"/>
      <c r="D487" s="104"/>
      <c r="E487" s="104"/>
      <c r="F487" s="104"/>
      <c r="G487" s="104"/>
      <c r="H487" s="104"/>
    </row>
    <row r="488" spans="1:8">
      <c r="A488" s="62"/>
      <c r="B488" s="104"/>
      <c r="C488" s="104"/>
      <c r="D488" s="104"/>
      <c r="E488" s="104"/>
      <c r="F488" s="104"/>
      <c r="G488" s="104"/>
      <c r="H488" s="104"/>
    </row>
    <row r="489" spans="1:8">
      <c r="A489" s="62"/>
      <c r="B489" s="104"/>
      <c r="C489" s="104"/>
      <c r="D489" s="104"/>
      <c r="E489" s="104"/>
      <c r="F489" s="104"/>
      <c r="G489" s="104"/>
      <c r="H489" s="104"/>
    </row>
    <row r="490" spans="1:8">
      <c r="A490" s="62"/>
      <c r="B490" s="104"/>
      <c r="C490" s="104"/>
      <c r="D490" s="104"/>
      <c r="E490" s="104"/>
      <c r="F490" s="104"/>
      <c r="G490" s="104"/>
      <c r="H490" s="104"/>
    </row>
    <row r="491" spans="1:8">
      <c r="A491" s="62"/>
      <c r="B491" s="104"/>
      <c r="C491" s="104"/>
      <c r="D491" s="104"/>
      <c r="E491" s="104"/>
      <c r="F491" s="104"/>
      <c r="G491" s="104"/>
      <c r="H491" s="104"/>
    </row>
    <row r="492" spans="1:8">
      <c r="A492" s="62"/>
      <c r="B492" s="104"/>
      <c r="C492" s="104"/>
      <c r="D492" s="104"/>
      <c r="E492" s="104"/>
      <c r="F492" s="104"/>
      <c r="G492" s="104"/>
      <c r="H492" s="104"/>
    </row>
    <row r="493" spans="1:8">
      <c r="A493" s="62"/>
      <c r="B493" s="104"/>
      <c r="C493" s="104"/>
      <c r="D493" s="104"/>
      <c r="E493" s="104"/>
      <c r="F493" s="104"/>
      <c r="G493" s="104"/>
      <c r="H493" s="104"/>
    </row>
    <row r="494" spans="1:8">
      <c r="A494" s="62"/>
      <c r="B494" s="104"/>
      <c r="C494" s="104"/>
      <c r="D494" s="104"/>
      <c r="E494" s="104"/>
      <c r="F494" s="104"/>
      <c r="G494" s="104"/>
      <c r="H494" s="104"/>
    </row>
    <row r="495" spans="1:8">
      <c r="A495" s="62"/>
      <c r="B495" s="104"/>
      <c r="C495" s="104"/>
      <c r="D495" s="104"/>
      <c r="E495" s="104"/>
      <c r="F495" s="104"/>
      <c r="G495" s="104"/>
      <c r="H495" s="104"/>
    </row>
    <row r="496" spans="1:8">
      <c r="A496" s="62"/>
      <c r="B496" s="104"/>
      <c r="C496" s="104"/>
      <c r="D496" s="104"/>
      <c r="E496" s="104"/>
      <c r="F496" s="104"/>
      <c r="G496" s="104"/>
      <c r="H496" s="104"/>
    </row>
    <row r="497" spans="1:8">
      <c r="A497" s="62"/>
      <c r="B497" s="104"/>
      <c r="C497" s="104"/>
      <c r="D497" s="104"/>
      <c r="E497" s="104"/>
      <c r="F497" s="104"/>
      <c r="G497" s="104"/>
      <c r="H497" s="104"/>
    </row>
    <row r="498" spans="1:8">
      <c r="A498" s="62"/>
      <c r="B498" s="104"/>
      <c r="C498" s="104"/>
      <c r="D498" s="104"/>
      <c r="E498" s="104"/>
      <c r="F498" s="104"/>
      <c r="G498" s="104"/>
      <c r="H498" s="104"/>
    </row>
    <row r="499" spans="1:8">
      <c r="A499" s="62"/>
      <c r="B499" s="104"/>
      <c r="C499" s="104"/>
      <c r="D499" s="104"/>
      <c r="E499" s="104"/>
      <c r="F499" s="104"/>
      <c r="G499" s="104"/>
      <c r="H499" s="104"/>
    </row>
    <row r="500" spans="1:8">
      <c r="A500" s="62"/>
      <c r="B500" s="104"/>
      <c r="C500" s="104"/>
      <c r="D500" s="104"/>
      <c r="E500" s="104"/>
      <c r="F500" s="104"/>
      <c r="G500" s="104"/>
      <c r="H500" s="104"/>
    </row>
    <row r="501" spans="1:8">
      <c r="A501" s="62"/>
      <c r="B501" s="104"/>
      <c r="C501" s="104"/>
      <c r="D501" s="104"/>
      <c r="E501" s="104"/>
      <c r="F501" s="104"/>
      <c r="G501" s="104"/>
      <c r="H501" s="104"/>
    </row>
    <row r="502" spans="1:8">
      <c r="A502" s="62"/>
      <c r="B502" s="104"/>
      <c r="C502" s="104"/>
      <c r="D502" s="104"/>
      <c r="E502" s="104"/>
      <c r="F502" s="104"/>
      <c r="G502" s="104"/>
      <c r="H502" s="104"/>
    </row>
    <row r="503" spans="1:8">
      <c r="A503" s="62"/>
      <c r="B503" s="104"/>
      <c r="C503" s="104"/>
      <c r="D503" s="104"/>
      <c r="E503" s="104"/>
      <c r="F503" s="104"/>
      <c r="G503" s="104"/>
      <c r="H503" s="104"/>
    </row>
    <row r="504" spans="1:8">
      <c r="A504" s="62"/>
      <c r="B504" s="104"/>
      <c r="C504" s="104"/>
      <c r="D504" s="104"/>
      <c r="E504" s="104"/>
      <c r="F504" s="104"/>
      <c r="G504" s="104"/>
      <c r="H504" s="104"/>
    </row>
    <row r="505" spans="1:8">
      <c r="A505" s="62"/>
      <c r="B505" s="104"/>
      <c r="C505" s="104"/>
      <c r="D505" s="104"/>
      <c r="E505" s="104"/>
      <c r="F505" s="104"/>
      <c r="G505" s="104"/>
      <c r="H505" s="104"/>
    </row>
    <row r="506" spans="1:8">
      <c r="A506" s="62"/>
      <c r="B506" s="104"/>
      <c r="C506" s="104"/>
      <c r="D506" s="104"/>
      <c r="E506" s="104"/>
      <c r="F506" s="104"/>
      <c r="G506" s="104"/>
      <c r="H506" s="104"/>
    </row>
    <row r="507" spans="1:8">
      <c r="A507" s="62"/>
      <c r="B507" s="104"/>
      <c r="C507" s="104"/>
      <c r="D507" s="104"/>
      <c r="E507" s="104"/>
      <c r="F507" s="104"/>
      <c r="G507" s="104"/>
      <c r="H507" s="104"/>
    </row>
    <row r="508" spans="1:8">
      <c r="A508" s="62"/>
      <c r="B508" s="104"/>
      <c r="C508" s="104"/>
      <c r="D508" s="104"/>
      <c r="E508" s="104"/>
      <c r="F508" s="104"/>
      <c r="G508" s="104"/>
      <c r="H508" s="104"/>
    </row>
    <row r="509" spans="1:8">
      <c r="A509" s="62"/>
      <c r="B509" s="104"/>
      <c r="C509" s="104"/>
      <c r="D509" s="104"/>
      <c r="E509" s="104"/>
      <c r="F509" s="104"/>
      <c r="G509" s="104"/>
      <c r="H509" s="104"/>
    </row>
    <row r="510" spans="1:8">
      <c r="A510" s="62"/>
      <c r="B510" s="104"/>
      <c r="C510" s="104"/>
      <c r="D510" s="104"/>
      <c r="E510" s="104"/>
      <c r="F510" s="104"/>
      <c r="G510" s="104"/>
      <c r="H510" s="104"/>
    </row>
    <row r="511" spans="1:8">
      <c r="A511" s="62"/>
      <c r="B511" s="104"/>
      <c r="C511" s="104"/>
      <c r="D511" s="104"/>
      <c r="E511" s="104"/>
      <c r="F511" s="104"/>
      <c r="G511" s="104"/>
      <c r="H511" s="104"/>
    </row>
    <row r="512" spans="1:8">
      <c r="A512" s="62"/>
      <c r="B512" s="104"/>
      <c r="C512" s="104"/>
      <c r="D512" s="104"/>
      <c r="E512" s="104"/>
      <c r="F512" s="104"/>
      <c r="G512" s="104"/>
      <c r="H512" s="104"/>
    </row>
    <row r="513" spans="1:8">
      <c r="A513" s="62"/>
      <c r="B513" s="104"/>
      <c r="C513" s="104"/>
      <c r="D513" s="104"/>
      <c r="E513" s="104"/>
      <c r="F513" s="104"/>
      <c r="G513" s="104"/>
      <c r="H513" s="104"/>
    </row>
  </sheetData>
  <mergeCells count="6">
    <mergeCell ref="D1:H3"/>
    <mergeCell ref="A4:C4"/>
    <mergeCell ref="D4:H4"/>
    <mergeCell ref="A5:C5"/>
    <mergeCell ref="D5:G5"/>
    <mergeCell ref="H5:H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4" orientation="portrait" r:id="rId1"/>
  <headerFooter>
    <oddFooter>&amp;L&amp;"Calibri,Regular"&amp;12&amp;K184782&amp;F&amp;C&amp;"Calibri,Regular"&amp;12&amp;K184782&amp;A&amp;R&amp;"Calibri,Regular"&amp;12&amp;K184782&amp;P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>
    <pageSetUpPr fitToPage="1"/>
  </sheetPr>
  <dimension ref="A1:H512"/>
  <sheetViews>
    <sheetView showGridLines="0" zoomScaleNormal="100" workbookViewId="0">
      <pane ySplit="2415" topLeftCell="A199" activePane="bottomLeft"/>
      <selection activeCell="M177" sqref="M177"/>
      <selection pane="bottomLeft" activeCell="H212" sqref="H212"/>
    </sheetView>
  </sheetViews>
  <sheetFormatPr defaultRowHeight="12.75"/>
  <cols>
    <col min="1" max="1" width="14" style="67" customWidth="1"/>
    <col min="2" max="2" width="10.140625" style="67" bestFit="1" customWidth="1"/>
    <col min="3" max="3" width="10.140625" style="67" customWidth="1"/>
    <col min="4" max="6" width="9.140625" style="67"/>
    <col min="7" max="7" width="12.85546875" style="67" bestFit="1" customWidth="1"/>
    <col min="8" max="8" width="15.7109375" style="67" customWidth="1"/>
    <col min="9" max="16384" width="9.140625" style="62"/>
  </cols>
  <sheetData>
    <row r="1" spans="1:8" s="67" customFormat="1" ht="16.5" customHeight="1">
      <c r="B1" s="101"/>
      <c r="C1" s="101"/>
      <c r="D1" s="294" t="s">
        <v>251</v>
      </c>
      <c r="E1" s="294"/>
      <c r="F1" s="294"/>
      <c r="G1" s="294"/>
      <c r="H1" s="294"/>
    </row>
    <row r="2" spans="1:8" s="67" customFormat="1" ht="17.25" customHeight="1">
      <c r="A2" s="101"/>
      <c r="B2" s="101"/>
      <c r="C2" s="101"/>
      <c r="D2" s="294"/>
      <c r="E2" s="294"/>
      <c r="F2" s="294"/>
      <c r="G2" s="294"/>
      <c r="H2" s="294"/>
    </row>
    <row r="3" spans="1:8" s="67" customFormat="1" ht="21" customHeight="1" thickBot="1">
      <c r="A3" s="101"/>
      <c r="B3" s="101"/>
      <c r="C3" s="101"/>
      <c r="D3" s="294"/>
      <c r="E3" s="294"/>
      <c r="F3" s="294"/>
      <c r="G3" s="294"/>
      <c r="H3" s="294"/>
    </row>
    <row r="4" spans="1:8" ht="19.5" thickBot="1">
      <c r="A4" s="301" t="s">
        <v>65</v>
      </c>
      <c r="B4" s="302"/>
      <c r="C4" s="302"/>
      <c r="D4" s="303" t="s">
        <v>61</v>
      </c>
      <c r="E4" s="303"/>
      <c r="F4" s="303"/>
      <c r="G4" s="303"/>
      <c r="H4" s="304"/>
    </row>
    <row r="5" spans="1:8" ht="18" customHeight="1" thickBot="1">
      <c r="A5" s="296" t="s">
        <v>56</v>
      </c>
      <c r="B5" s="297"/>
      <c r="C5" s="297"/>
      <c r="D5" s="298" t="s">
        <v>57</v>
      </c>
      <c r="E5" s="299"/>
      <c r="F5" s="299"/>
      <c r="G5" s="300"/>
      <c r="H5" s="295" t="s">
        <v>58</v>
      </c>
    </row>
    <row r="6" spans="1:8" ht="15.75" customHeight="1" thickBot="1">
      <c r="A6" s="126" t="s">
        <v>109</v>
      </c>
      <c r="B6" s="127" t="s">
        <v>0</v>
      </c>
      <c r="C6" s="127" t="s">
        <v>4</v>
      </c>
      <c r="D6" s="127" t="s">
        <v>1</v>
      </c>
      <c r="E6" s="127" t="s">
        <v>2</v>
      </c>
      <c r="F6" s="127" t="s">
        <v>3</v>
      </c>
      <c r="G6" s="127" t="s">
        <v>59</v>
      </c>
      <c r="H6" s="295"/>
    </row>
    <row r="7" spans="1:8" s="102" customFormat="1" ht="16.5" customHeight="1" thickBot="1">
      <c r="A7" s="140" t="s">
        <v>67</v>
      </c>
      <c r="B7" s="141"/>
      <c r="C7" s="141"/>
      <c r="D7" s="141"/>
      <c r="E7" s="141"/>
      <c r="F7" s="141"/>
      <c r="G7" s="141"/>
      <c r="H7" s="142"/>
    </row>
    <row r="8" spans="1:8" ht="15" hidden="1">
      <c r="A8" s="217" t="s">
        <v>113</v>
      </c>
      <c r="B8" s="218">
        <f>[2]cárter!$B119</f>
        <v>4.74</v>
      </c>
      <c r="C8" s="219">
        <f>100*B8/B$8</f>
        <v>100</v>
      </c>
      <c r="D8" s="219"/>
      <c r="E8" s="219"/>
      <c r="F8" s="219"/>
      <c r="G8" s="220"/>
      <c r="H8" s="221">
        <f>+B$211/B8</f>
        <v>4.0898131404460525</v>
      </c>
    </row>
    <row r="9" spans="1:8" ht="15" hidden="1">
      <c r="A9" s="222" t="s">
        <v>114</v>
      </c>
      <c r="B9" s="177">
        <f>[2]cárter!$B120</f>
        <v>4.72</v>
      </c>
      <c r="C9" s="165">
        <f t="shared" ref="C9:C106" si="0">100*B9/B$8</f>
        <v>99.578059071729953</v>
      </c>
      <c r="D9" s="165">
        <f t="shared" ref="D9:D50" si="1">100*(B9/B8-1)</f>
        <v>-0.42194092827004814</v>
      </c>
      <c r="E9" s="165"/>
      <c r="F9" s="165"/>
      <c r="G9" s="225"/>
      <c r="H9" s="174">
        <f>+B$211/B9</f>
        <v>4.1071428571428585</v>
      </c>
    </row>
    <row r="10" spans="1:8" ht="15" hidden="1">
      <c r="A10" s="222" t="s">
        <v>115</v>
      </c>
      <c r="B10" s="177">
        <f>[2]cárter!$B121</f>
        <v>4.62</v>
      </c>
      <c r="C10" s="165">
        <f t="shared" si="0"/>
        <v>97.468354430379748</v>
      </c>
      <c r="D10" s="165">
        <f t="shared" si="1"/>
        <v>-2.1186440677966045</v>
      </c>
      <c r="E10" s="165"/>
      <c r="F10" s="165"/>
      <c r="G10" s="225"/>
      <c r="H10" s="174">
        <f>+B$211/B10</f>
        <v>4.196042053184911</v>
      </c>
    </row>
    <row r="11" spans="1:8" ht="15" hidden="1">
      <c r="A11" s="222" t="s">
        <v>116</v>
      </c>
      <c r="B11" s="177">
        <f>[2]cárter!$B122</f>
        <v>4.5599999999999996</v>
      </c>
      <c r="C11" s="165">
        <f t="shared" si="0"/>
        <v>96.202531645569607</v>
      </c>
      <c r="D11" s="165">
        <f t="shared" si="1"/>
        <v>-1.2987012987013102</v>
      </c>
      <c r="E11" s="165">
        <f t="shared" ref="E11:E22" si="2">100*(B11/B$10-1)</f>
        <v>-1.2987012987013102</v>
      </c>
      <c r="F11" s="165"/>
      <c r="G11" s="225"/>
      <c r="H11" s="174">
        <f>+B$211/B11</f>
        <v>4.2512531328320815</v>
      </c>
    </row>
    <row r="12" spans="1:8" ht="15" hidden="1">
      <c r="A12" s="222" t="s">
        <v>117</v>
      </c>
      <c r="B12" s="177">
        <f>[2]cárter!$B123</f>
        <v>4.7300000000000004</v>
      </c>
      <c r="C12" s="165">
        <f t="shared" si="0"/>
        <v>99.789029535864984</v>
      </c>
      <c r="D12" s="165">
        <f t="shared" si="1"/>
        <v>3.7280701754386136</v>
      </c>
      <c r="E12" s="165">
        <f t="shared" si="2"/>
        <v>2.3809523809523947</v>
      </c>
      <c r="F12" s="165"/>
      <c r="G12" s="225"/>
      <c r="H12" s="174">
        <f>+B$211/B12</f>
        <v>4.0984596798550292</v>
      </c>
    </row>
    <row r="13" spans="1:8" ht="15" hidden="1">
      <c r="A13" s="222" t="s">
        <v>118</v>
      </c>
      <c r="B13" s="177">
        <f>[2]cárter!$B124</f>
        <v>4.7699999999999996</v>
      </c>
      <c r="C13" s="165">
        <f t="shared" si="0"/>
        <v>100.63291139240505</v>
      </c>
      <c r="D13" s="165">
        <f t="shared" si="1"/>
        <v>0.84566596194501908</v>
      </c>
      <c r="E13" s="165">
        <f t="shared" si="2"/>
        <v>3.2467532467532312</v>
      </c>
      <c r="F13" s="165"/>
      <c r="G13" s="225"/>
      <c r="H13" s="174">
        <f>+B$211/B13</f>
        <v>4.0640910452231216</v>
      </c>
    </row>
    <row r="14" spans="1:8" ht="15" hidden="1">
      <c r="A14" s="222" t="s">
        <v>119</v>
      </c>
      <c r="B14" s="177">
        <f>[2]cárter!$B125</f>
        <v>4.67</v>
      </c>
      <c r="C14" s="165">
        <f t="shared" si="0"/>
        <v>98.523206751054843</v>
      </c>
      <c r="D14" s="165">
        <f t="shared" si="1"/>
        <v>-2.0964360587002018</v>
      </c>
      <c r="E14" s="165">
        <f t="shared" si="2"/>
        <v>1.0822510822510845</v>
      </c>
      <c r="F14" s="165"/>
      <c r="G14" s="225"/>
      <c r="H14" s="174">
        <f>+B$211/B14</f>
        <v>4.1511165494034881</v>
      </c>
    </row>
    <row r="15" spans="1:8" ht="13.5" hidden="1" customHeight="1">
      <c r="A15" s="222" t="s">
        <v>120</v>
      </c>
      <c r="B15" s="177">
        <f>[2]cárter!$B126</f>
        <v>4.79</v>
      </c>
      <c r="C15" s="165">
        <f t="shared" si="0"/>
        <v>101.0548523206751</v>
      </c>
      <c r="D15" s="165">
        <f t="shared" si="1"/>
        <v>2.5695931477516032</v>
      </c>
      <c r="E15" s="165">
        <f t="shared" si="2"/>
        <v>3.6796536796536827</v>
      </c>
      <c r="F15" s="165"/>
      <c r="G15" s="225"/>
      <c r="H15" s="174">
        <f>+B$211/B15</f>
        <v>4.0471219803161356</v>
      </c>
    </row>
    <row r="16" spans="1:8" ht="15" hidden="1">
      <c r="A16" s="222" t="s">
        <v>121</v>
      </c>
      <c r="B16" s="177">
        <f>[2]cárter!$B127</f>
        <v>4.8600000000000003</v>
      </c>
      <c r="C16" s="165">
        <f t="shared" si="0"/>
        <v>102.53164556962027</v>
      </c>
      <c r="D16" s="165">
        <f t="shared" si="1"/>
        <v>1.4613778705636848</v>
      </c>
      <c r="E16" s="165">
        <f t="shared" si="2"/>
        <v>5.1948051948051965</v>
      </c>
      <c r="F16" s="165"/>
      <c r="G16" s="225"/>
      <c r="H16" s="174">
        <f>+B$211/B16</f>
        <v>3.9888300999412114</v>
      </c>
    </row>
    <row r="17" spans="1:8" ht="15" hidden="1">
      <c r="A17" s="222" t="s">
        <v>122</v>
      </c>
      <c r="B17" s="177">
        <f>[2]cárter!$B128</f>
        <v>4.92</v>
      </c>
      <c r="C17" s="165">
        <f t="shared" si="0"/>
        <v>103.79746835443038</v>
      </c>
      <c r="D17" s="165">
        <f t="shared" si="1"/>
        <v>1.2345679012345512</v>
      </c>
      <c r="E17" s="165">
        <f t="shared" si="2"/>
        <v>6.4935064935064846</v>
      </c>
      <c r="F17" s="165"/>
      <c r="G17" s="225"/>
      <c r="H17" s="174">
        <f>+B$211/B17</f>
        <v>3.9401858304297339</v>
      </c>
    </row>
    <row r="18" spans="1:8" ht="15" hidden="1">
      <c r="A18" s="222" t="s">
        <v>123</v>
      </c>
      <c r="B18" s="177">
        <f>[2]cárter!$B129</f>
        <v>4.95</v>
      </c>
      <c r="C18" s="165">
        <f t="shared" si="0"/>
        <v>104.43037974683544</v>
      </c>
      <c r="D18" s="165">
        <f t="shared" si="1"/>
        <v>0.60975609756097615</v>
      </c>
      <c r="E18" s="165">
        <f t="shared" si="2"/>
        <v>7.1428571428571397</v>
      </c>
      <c r="F18" s="165"/>
      <c r="G18" s="225"/>
      <c r="H18" s="174">
        <f>+B$211/B18</f>
        <v>3.9163059163059168</v>
      </c>
    </row>
    <row r="19" spans="1:8" ht="15" hidden="1">
      <c r="A19" s="222" t="s">
        <v>124</v>
      </c>
      <c r="B19" s="177">
        <f>[2]cárter!$B130</f>
        <v>4.95</v>
      </c>
      <c r="C19" s="165">
        <f t="shared" si="0"/>
        <v>104.43037974683544</v>
      </c>
      <c r="D19" s="165">
        <f t="shared" si="1"/>
        <v>0</v>
      </c>
      <c r="E19" s="165">
        <f t="shared" si="2"/>
        <v>7.1428571428571397</v>
      </c>
      <c r="F19" s="226"/>
      <c r="G19" s="185"/>
      <c r="H19" s="174">
        <f>+B$211/B19</f>
        <v>3.9163059163059168</v>
      </c>
    </row>
    <row r="20" spans="1:8" ht="15" hidden="1">
      <c r="A20" s="222" t="s">
        <v>125</v>
      </c>
      <c r="B20" s="177">
        <f>[2]cárter!$B131</f>
        <v>5.0599999999999996</v>
      </c>
      <c r="C20" s="165">
        <f t="shared" si="0"/>
        <v>106.75105485232066</v>
      </c>
      <c r="D20" s="165">
        <f t="shared" si="1"/>
        <v>2.2222222222222143</v>
      </c>
      <c r="E20" s="165">
        <f t="shared" si="2"/>
        <v>9.5238095238095113</v>
      </c>
      <c r="F20" s="226">
        <f t="shared" ref="F20:F49" si="3">(100*(B20/B8-1))</f>
        <v>6.7510548523206593</v>
      </c>
      <c r="G20" s="185"/>
      <c r="H20" s="174">
        <f>+B$211/B20</f>
        <v>3.8311688311688323</v>
      </c>
    </row>
    <row r="21" spans="1:8" ht="15" hidden="1">
      <c r="A21" s="222" t="s">
        <v>126</v>
      </c>
      <c r="B21" s="177">
        <f>[2]cárter!$B132</f>
        <v>5.3</v>
      </c>
      <c r="C21" s="165">
        <f t="shared" si="0"/>
        <v>111.81434599156118</v>
      </c>
      <c r="D21" s="165">
        <f t="shared" si="1"/>
        <v>4.743083003952564</v>
      </c>
      <c r="E21" s="165">
        <f t="shared" si="2"/>
        <v>14.71861471861471</v>
      </c>
      <c r="F21" s="226">
        <f t="shared" si="3"/>
        <v>12.28813559322035</v>
      </c>
      <c r="G21" s="185"/>
      <c r="H21" s="174">
        <f>+B$211/B21</f>
        <v>3.6576819407008094</v>
      </c>
    </row>
    <row r="22" spans="1:8" ht="15" hidden="1">
      <c r="A22" s="222" t="s">
        <v>127</v>
      </c>
      <c r="B22" s="177">
        <f>[2]cárter!$B133</f>
        <v>5.21</v>
      </c>
      <c r="C22" s="165">
        <f t="shared" si="0"/>
        <v>109.91561181434599</v>
      </c>
      <c r="D22" s="165">
        <f t="shared" si="1"/>
        <v>-1.6981132075471694</v>
      </c>
      <c r="E22" s="165">
        <f t="shared" si="2"/>
        <v>12.770562770562766</v>
      </c>
      <c r="F22" s="226">
        <f t="shared" si="3"/>
        <v>12.770562770562766</v>
      </c>
      <c r="G22" s="185"/>
      <c r="H22" s="174">
        <f>+B$211/B22</f>
        <v>3.7208664655881556</v>
      </c>
    </row>
    <row r="23" spans="1:8" ht="15" hidden="1">
      <c r="A23" s="222" t="s">
        <v>128</v>
      </c>
      <c r="B23" s="177">
        <f>[2]cárter!$B134</f>
        <v>5.21</v>
      </c>
      <c r="C23" s="165">
        <f t="shared" si="0"/>
        <v>109.91561181434599</v>
      </c>
      <c r="D23" s="165">
        <f t="shared" si="1"/>
        <v>0</v>
      </c>
      <c r="E23" s="165">
        <f t="shared" ref="E23:E29" si="4">100*(B23/B$22-1)</f>
        <v>0</v>
      </c>
      <c r="F23" s="226">
        <f t="shared" si="3"/>
        <v>14.254385964912286</v>
      </c>
      <c r="G23" s="185"/>
      <c r="H23" s="174">
        <f>+B$211/B23</f>
        <v>3.7208664655881556</v>
      </c>
    </row>
    <row r="24" spans="1:8" ht="15" hidden="1">
      <c r="A24" s="222" t="s">
        <v>129</v>
      </c>
      <c r="B24" s="177">
        <f>[2]cárter!$B135</f>
        <v>5.2</v>
      </c>
      <c r="C24" s="165">
        <f t="shared" si="0"/>
        <v>109.70464135021096</v>
      </c>
      <c r="D24" s="165">
        <f t="shared" si="1"/>
        <v>-0.19193857965450478</v>
      </c>
      <c r="E24" s="165">
        <f t="shared" si="4"/>
        <v>-0.19193857965450478</v>
      </c>
      <c r="F24" s="226">
        <f t="shared" si="3"/>
        <v>9.9365750528541241</v>
      </c>
      <c r="G24" s="185"/>
      <c r="H24" s="174">
        <f>+B$211/B24</f>
        <v>3.7280219780219785</v>
      </c>
    </row>
    <row r="25" spans="1:8" ht="15" hidden="1">
      <c r="A25" s="222" t="s">
        <v>130</v>
      </c>
      <c r="B25" s="177">
        <f>[2]cárter!$B136</f>
        <v>5.24</v>
      </c>
      <c r="C25" s="165">
        <f t="shared" si="0"/>
        <v>110.54852320675106</v>
      </c>
      <c r="D25" s="165">
        <f t="shared" si="1"/>
        <v>0.7692307692307665</v>
      </c>
      <c r="E25" s="165">
        <f t="shared" si="4"/>
        <v>0.57581573896352545</v>
      </c>
      <c r="F25" s="226">
        <f t="shared" si="3"/>
        <v>9.8532494758909905</v>
      </c>
      <c r="G25" s="185"/>
      <c r="H25" s="174">
        <f>+B$211/B25</f>
        <v>3.6995637949836429</v>
      </c>
    </row>
    <row r="26" spans="1:8" ht="15" hidden="1">
      <c r="A26" s="222" t="s">
        <v>131</v>
      </c>
      <c r="B26" s="177">
        <f>[2]cárter!$B137</f>
        <v>5.29</v>
      </c>
      <c r="C26" s="165">
        <f t="shared" si="0"/>
        <v>111.60337552742615</v>
      </c>
      <c r="D26" s="165">
        <f t="shared" si="1"/>
        <v>0.95419847328244156</v>
      </c>
      <c r="E26" s="165">
        <f t="shared" si="4"/>
        <v>1.5355086372360827</v>
      </c>
      <c r="F26" s="226">
        <f t="shared" si="3"/>
        <v>13.276231263383309</v>
      </c>
      <c r="G26" s="185"/>
      <c r="H26" s="174">
        <f>+B$211/B26</f>
        <v>3.6645962732919264</v>
      </c>
    </row>
    <row r="27" spans="1:8" ht="15" hidden="1">
      <c r="A27" s="222" t="s">
        <v>132</v>
      </c>
      <c r="B27" s="177">
        <f>[2]cárter!$B138</f>
        <v>5.56</v>
      </c>
      <c r="C27" s="165">
        <f t="shared" si="0"/>
        <v>117.29957805907172</v>
      </c>
      <c r="D27" s="165">
        <f t="shared" si="1"/>
        <v>5.1039697542532902</v>
      </c>
      <c r="E27" s="165">
        <f t="shared" si="4"/>
        <v>6.7178502879078561</v>
      </c>
      <c r="F27" s="226">
        <f t="shared" si="3"/>
        <v>16.075156576200399</v>
      </c>
      <c r="G27" s="185"/>
      <c r="H27" s="174">
        <f>+B$211/B27</f>
        <v>3.486639260020556</v>
      </c>
    </row>
    <row r="28" spans="1:8" ht="15" hidden="1">
      <c r="A28" s="222" t="s">
        <v>133</v>
      </c>
      <c r="B28" s="177">
        <f>[2]cárter!$B139</f>
        <v>5.55</v>
      </c>
      <c r="C28" s="165">
        <f t="shared" si="0"/>
        <v>117.0886075949367</v>
      </c>
      <c r="D28" s="165">
        <f t="shared" si="1"/>
        <v>-0.17985611510791255</v>
      </c>
      <c r="E28" s="165">
        <f t="shared" si="4"/>
        <v>6.5259117082533624</v>
      </c>
      <c r="F28" s="226">
        <f t="shared" si="3"/>
        <v>14.197530864197528</v>
      </c>
      <c r="G28" s="185"/>
      <c r="H28" s="174">
        <f>+B$211/B28</f>
        <v>3.4929214929214938</v>
      </c>
    </row>
    <row r="29" spans="1:8" ht="15" hidden="1">
      <c r="A29" s="222" t="s">
        <v>134</v>
      </c>
      <c r="B29" s="177">
        <f>[2]cárter!$B140</f>
        <v>5.5</v>
      </c>
      <c r="C29" s="165">
        <f t="shared" si="0"/>
        <v>116.03375527426159</v>
      </c>
      <c r="D29" s="165">
        <f t="shared" si="1"/>
        <v>-0.9009009009009028</v>
      </c>
      <c r="E29" s="165">
        <f t="shared" si="4"/>
        <v>5.5662188099808052</v>
      </c>
      <c r="F29" s="226">
        <f t="shared" si="3"/>
        <v>11.788617886178866</v>
      </c>
      <c r="G29" s="185"/>
      <c r="H29" s="174">
        <f>+B$211/B29</f>
        <v>3.5246753246753255</v>
      </c>
    </row>
    <row r="30" spans="1:8" ht="15" hidden="1">
      <c r="A30" s="222" t="s">
        <v>135</v>
      </c>
      <c r="B30" s="177">
        <f>[2]cárter!$B141</f>
        <v>5.43</v>
      </c>
      <c r="C30" s="165">
        <f t="shared" si="0"/>
        <v>114.55696202531645</v>
      </c>
      <c r="D30" s="165">
        <f t="shared" si="1"/>
        <v>-1.2727272727272809</v>
      </c>
      <c r="E30" s="165">
        <f>100*(B30/B$22-1)</f>
        <v>4.2226487523992384</v>
      </c>
      <c r="F30" s="226">
        <f t="shared" si="3"/>
        <v>9.6969696969696919</v>
      </c>
      <c r="G30" s="185"/>
      <c r="H30" s="174">
        <f>+B$211/B30</f>
        <v>3.5701131281241789</v>
      </c>
    </row>
    <row r="31" spans="1:8" ht="15" hidden="1">
      <c r="A31" s="222" t="s">
        <v>136</v>
      </c>
      <c r="B31" s="177">
        <f>[2]cárter!$B142</f>
        <v>5.58</v>
      </c>
      <c r="C31" s="165">
        <f t="shared" si="0"/>
        <v>117.72151898734177</v>
      </c>
      <c r="D31" s="165">
        <f t="shared" si="1"/>
        <v>2.7624309392265234</v>
      </c>
      <c r="E31" s="165">
        <f>100*(B31/B$22-1)</f>
        <v>7.1017274472168879</v>
      </c>
      <c r="F31" s="226">
        <f t="shared" si="3"/>
        <v>12.72727272727272</v>
      </c>
      <c r="G31" s="185"/>
      <c r="H31" s="174">
        <f>+B$211/B31</f>
        <v>3.4741423451100877</v>
      </c>
    </row>
    <row r="32" spans="1:8" ht="15" hidden="1">
      <c r="A32" s="222" t="s">
        <v>137</v>
      </c>
      <c r="B32" s="177">
        <f>[2]cárter!$B143</f>
        <v>5.47</v>
      </c>
      <c r="C32" s="165">
        <f t="shared" si="0"/>
        <v>115.40084388185653</v>
      </c>
      <c r="D32" s="165">
        <f t="shared" si="1"/>
        <v>-1.9713261648745539</v>
      </c>
      <c r="E32" s="165">
        <f>100*(B32/B$22-1)</f>
        <v>4.9904030710172798</v>
      </c>
      <c r="F32" s="226">
        <f t="shared" si="3"/>
        <v>8.1027667984189691</v>
      </c>
      <c r="G32" s="185">
        <f t="shared" ref="G32:G49" si="5">100*(B32/B8-1)</f>
        <v>15.400843881856542</v>
      </c>
      <c r="H32" s="174">
        <f>+B$211/B32</f>
        <v>3.5440062679550803</v>
      </c>
    </row>
    <row r="33" spans="1:8" ht="15" hidden="1">
      <c r="A33" s="222" t="s">
        <v>138</v>
      </c>
      <c r="B33" s="177">
        <f>[2]cárter!$B144</f>
        <v>5.48</v>
      </c>
      <c r="C33" s="165">
        <f t="shared" si="0"/>
        <v>115.61181434599156</v>
      </c>
      <c r="D33" s="165">
        <f t="shared" si="1"/>
        <v>0.18281535648996261</v>
      </c>
      <c r="E33" s="165">
        <f>100*(B33/B$22-1)</f>
        <v>5.1823416506717956</v>
      </c>
      <c r="F33" s="226">
        <f t="shared" si="3"/>
        <v>3.3962264150943611</v>
      </c>
      <c r="G33" s="185">
        <f t="shared" si="5"/>
        <v>16.10169491525426</v>
      </c>
      <c r="H33" s="174">
        <f>+B$211/B33</f>
        <v>3.5375391032325343</v>
      </c>
    </row>
    <row r="34" spans="1:8" ht="15" hidden="1">
      <c r="A34" s="222" t="s">
        <v>139</v>
      </c>
      <c r="B34" s="177">
        <f>[2]cárter!$B145</f>
        <v>5.5571000000000002</v>
      </c>
      <c r="C34" s="165">
        <f t="shared" si="0"/>
        <v>117.23839662447257</v>
      </c>
      <c r="D34" s="165">
        <f t="shared" si="1"/>
        <v>1.4069343065693296</v>
      </c>
      <c r="E34" s="165">
        <f>100*(B34/B$22-1)</f>
        <v>6.6621880998080751</v>
      </c>
      <c r="F34" s="226">
        <f t="shared" si="3"/>
        <v>6.6621880998080751</v>
      </c>
      <c r="G34" s="185">
        <f t="shared" si="5"/>
        <v>20.28354978354978</v>
      </c>
      <c r="H34" s="174">
        <f>+B$211/B34</f>
        <v>3.4884587798877633</v>
      </c>
    </row>
    <row r="35" spans="1:8" ht="15" hidden="1">
      <c r="A35" s="222" t="s">
        <v>140</v>
      </c>
      <c r="B35" s="177">
        <f>[2]cárter!$B146</f>
        <v>5.42</v>
      </c>
      <c r="C35" s="165">
        <f t="shared" si="0"/>
        <v>114.34599156118144</v>
      </c>
      <c r="D35" s="165">
        <f t="shared" si="1"/>
        <v>-2.4671141422684562</v>
      </c>
      <c r="E35" s="165">
        <f t="shared" ref="E35:E46" si="6">100*(B35/B$34-1)</f>
        <v>-2.4671141422684562</v>
      </c>
      <c r="F35" s="226">
        <f t="shared" si="3"/>
        <v>4.0307101727447225</v>
      </c>
      <c r="G35" s="185">
        <f t="shared" si="5"/>
        <v>18.859649122807021</v>
      </c>
      <c r="H35" s="174">
        <f>+B$211/B35</f>
        <v>3.5767000527148136</v>
      </c>
    </row>
    <row r="36" spans="1:8" ht="15" hidden="1">
      <c r="A36" s="222" t="s">
        <v>141</v>
      </c>
      <c r="B36" s="177">
        <f>[2]cárter!$B147</f>
        <v>5.65</v>
      </c>
      <c r="C36" s="165">
        <f t="shared" si="0"/>
        <v>119.19831223628691</v>
      </c>
      <c r="D36" s="165">
        <f t="shared" si="1"/>
        <v>4.2435424354243523</v>
      </c>
      <c r="E36" s="165">
        <f t="shared" si="6"/>
        <v>1.6717352575983835</v>
      </c>
      <c r="F36" s="226">
        <f t="shared" si="3"/>
        <v>8.6538461538461675</v>
      </c>
      <c r="G36" s="185">
        <f t="shared" si="5"/>
        <v>19.450317124735726</v>
      </c>
      <c r="H36" s="174">
        <f>+B$211/B36</f>
        <v>3.4310998735777503</v>
      </c>
    </row>
    <row r="37" spans="1:8" ht="15" hidden="1">
      <c r="A37" s="222" t="s">
        <v>142</v>
      </c>
      <c r="B37" s="177">
        <f>[2]cárter!$B148</f>
        <v>5.99</v>
      </c>
      <c r="C37" s="165">
        <f t="shared" si="0"/>
        <v>126.37130801687763</v>
      </c>
      <c r="D37" s="165">
        <f t="shared" si="1"/>
        <v>6.0176991150442394</v>
      </c>
      <c r="E37" s="165">
        <f t="shared" si="6"/>
        <v>7.7900343704450092</v>
      </c>
      <c r="F37" s="226">
        <f t="shared" si="3"/>
        <v>14.312977099236646</v>
      </c>
      <c r="G37" s="185">
        <f t="shared" si="5"/>
        <v>25.57651991614258</v>
      </c>
      <c r="H37" s="174">
        <f>+B$211/B37</f>
        <v>3.2363462914381116</v>
      </c>
    </row>
    <row r="38" spans="1:8" ht="15" hidden="1">
      <c r="A38" s="222" t="s">
        <v>143</v>
      </c>
      <c r="B38" s="177">
        <f>[2]cárter!$B149</f>
        <v>6.04</v>
      </c>
      <c r="C38" s="165">
        <f t="shared" si="0"/>
        <v>127.42616033755273</v>
      </c>
      <c r="D38" s="165">
        <f t="shared" si="1"/>
        <v>0.83472454090149917</v>
      </c>
      <c r="E38" s="165">
        <f t="shared" si="6"/>
        <v>8.6897842399812788</v>
      </c>
      <c r="F38" s="226">
        <f t="shared" si="3"/>
        <v>14.177693761814748</v>
      </c>
      <c r="G38" s="185">
        <f t="shared" si="5"/>
        <v>29.336188436830835</v>
      </c>
      <c r="H38" s="174">
        <f>+B$211/B38</f>
        <v>3.2095553453169354</v>
      </c>
    </row>
    <row r="39" spans="1:8" ht="15" hidden="1">
      <c r="A39" s="222" t="s">
        <v>144</v>
      </c>
      <c r="B39" s="177">
        <f>[2]cárter!$B150</f>
        <v>6</v>
      </c>
      <c r="C39" s="165">
        <f t="shared" si="0"/>
        <v>126.58227848101265</v>
      </c>
      <c r="D39" s="165">
        <f t="shared" si="1"/>
        <v>-0.66225165562914245</v>
      </c>
      <c r="E39" s="165">
        <f t="shared" si="6"/>
        <v>7.9699843443522767</v>
      </c>
      <c r="F39" s="226">
        <f t="shared" si="3"/>
        <v>7.9136690647482189</v>
      </c>
      <c r="G39" s="185">
        <f t="shared" si="5"/>
        <v>25.260960334029225</v>
      </c>
      <c r="H39" s="174">
        <f>+B$211/B39</f>
        <v>3.2309523809523815</v>
      </c>
    </row>
    <row r="40" spans="1:8" ht="15" hidden="1">
      <c r="A40" s="222" t="s">
        <v>145</v>
      </c>
      <c r="B40" s="177">
        <f>[2]cárter!$B151</f>
        <v>5.97</v>
      </c>
      <c r="C40" s="165">
        <f t="shared" si="0"/>
        <v>125.94936708860759</v>
      </c>
      <c r="D40" s="165">
        <f t="shared" si="1"/>
        <v>-0.50000000000000044</v>
      </c>
      <c r="E40" s="165">
        <f t="shared" si="6"/>
        <v>7.4301344226304966</v>
      </c>
      <c r="F40" s="226">
        <f t="shared" si="3"/>
        <v>7.5675675675675569</v>
      </c>
      <c r="G40" s="185">
        <f t="shared" si="5"/>
        <v>22.839506172839496</v>
      </c>
      <c r="H40" s="174">
        <f>+B$211/B40</f>
        <v>3.2471883225652078</v>
      </c>
    </row>
    <row r="41" spans="1:8" ht="15" hidden="1">
      <c r="A41" s="222" t="s">
        <v>146</v>
      </c>
      <c r="B41" s="177">
        <f>[2]cárter!$B152</f>
        <v>6.06</v>
      </c>
      <c r="C41" s="165">
        <f t="shared" si="0"/>
        <v>127.84810126582278</v>
      </c>
      <c r="D41" s="165">
        <f t="shared" si="1"/>
        <v>1.5075376884422065</v>
      </c>
      <c r="E41" s="165">
        <f t="shared" si="6"/>
        <v>9.0496841877957923</v>
      </c>
      <c r="F41" s="226">
        <f t="shared" si="3"/>
        <v>10.18181818181818</v>
      </c>
      <c r="G41" s="185">
        <f t="shared" si="5"/>
        <v>23.170731707317071</v>
      </c>
      <c r="H41" s="174">
        <f>+B$211/B41</f>
        <v>3.1989627534181997</v>
      </c>
    </row>
    <row r="42" spans="1:8" ht="15" hidden="1">
      <c r="A42" s="222" t="s">
        <v>147</v>
      </c>
      <c r="B42" s="177">
        <f>[2]cárter!$B153</f>
        <v>5.96</v>
      </c>
      <c r="C42" s="165">
        <f t="shared" si="0"/>
        <v>125.73839662447257</v>
      </c>
      <c r="D42" s="165">
        <f t="shared" si="1"/>
        <v>-1.6501650165016479</v>
      </c>
      <c r="E42" s="165">
        <f t="shared" si="6"/>
        <v>7.2501844487232514</v>
      </c>
      <c r="F42" s="226">
        <f t="shared" si="3"/>
        <v>9.7605893186003776</v>
      </c>
      <c r="G42" s="185">
        <f t="shared" si="5"/>
        <v>20.404040404040401</v>
      </c>
      <c r="H42" s="174">
        <f>+B$211/B42</f>
        <v>3.2526366251198473</v>
      </c>
    </row>
    <row r="43" spans="1:8" ht="15" hidden="1">
      <c r="A43" s="222" t="s">
        <v>148</v>
      </c>
      <c r="B43" s="177">
        <f>[2]cárter!$B154</f>
        <v>5.96</v>
      </c>
      <c r="C43" s="165">
        <f t="shared" si="0"/>
        <v>125.73839662447257</v>
      </c>
      <c r="D43" s="165">
        <f t="shared" si="1"/>
        <v>0</v>
      </c>
      <c r="E43" s="165">
        <f t="shared" si="6"/>
        <v>7.2501844487232514</v>
      </c>
      <c r="F43" s="226">
        <f t="shared" si="3"/>
        <v>6.8100358422939156</v>
      </c>
      <c r="G43" s="185">
        <f t="shared" si="5"/>
        <v>20.404040404040401</v>
      </c>
      <c r="H43" s="174">
        <f>+B$211/B43</f>
        <v>3.2526366251198473</v>
      </c>
    </row>
    <row r="44" spans="1:8" ht="15" hidden="1">
      <c r="A44" s="222" t="s">
        <v>149</v>
      </c>
      <c r="B44" s="177">
        <f>[2]cárter!$B155</f>
        <v>6.08</v>
      </c>
      <c r="C44" s="165">
        <f t="shared" si="0"/>
        <v>128.27004219409281</v>
      </c>
      <c r="D44" s="165">
        <f t="shared" si="1"/>
        <v>2.0134228187919545</v>
      </c>
      <c r="E44" s="165">
        <f t="shared" si="6"/>
        <v>9.4095841356103058</v>
      </c>
      <c r="F44" s="226">
        <f t="shared" si="3"/>
        <v>11.151736745886653</v>
      </c>
      <c r="G44" s="185">
        <f t="shared" si="5"/>
        <v>20.158102766798436</v>
      </c>
      <c r="H44" s="174">
        <f>+B$211/B44</f>
        <v>3.1884398496240607</v>
      </c>
    </row>
    <row r="45" spans="1:8" ht="15" hidden="1">
      <c r="A45" s="222" t="s">
        <v>150</v>
      </c>
      <c r="B45" s="177">
        <f>[2]cárter!$B156</f>
        <v>6.09</v>
      </c>
      <c r="C45" s="165">
        <f t="shared" si="0"/>
        <v>128.48101265822785</v>
      </c>
      <c r="D45" s="165">
        <f t="shared" si="1"/>
        <v>0.16447368421053099</v>
      </c>
      <c r="E45" s="165">
        <f t="shared" si="6"/>
        <v>9.589534109517551</v>
      </c>
      <c r="F45" s="226">
        <f t="shared" si="3"/>
        <v>11.131386861313853</v>
      </c>
      <c r="G45" s="185">
        <f t="shared" si="5"/>
        <v>14.905660377358497</v>
      </c>
      <c r="H45" s="174">
        <f>+B$211/B45</f>
        <v>3.1832043162092432</v>
      </c>
    </row>
    <row r="46" spans="1:8" ht="15" hidden="1">
      <c r="A46" s="222" t="s">
        <v>151</v>
      </c>
      <c r="B46" s="177">
        <f>[2]cárter!$B157</f>
        <v>6.06</v>
      </c>
      <c r="C46" s="165">
        <f t="shared" si="0"/>
        <v>127.84810126582278</v>
      </c>
      <c r="D46" s="165">
        <f t="shared" si="1"/>
        <v>-0.49261083743842304</v>
      </c>
      <c r="E46" s="165">
        <f t="shared" si="6"/>
        <v>9.0496841877957923</v>
      </c>
      <c r="F46" s="226">
        <f t="shared" si="3"/>
        <v>9.0496841877957923</v>
      </c>
      <c r="G46" s="185">
        <f t="shared" si="5"/>
        <v>16.314779270633384</v>
      </c>
      <c r="H46" s="174">
        <f>+B$211/B46</f>
        <v>3.1989627534181997</v>
      </c>
    </row>
    <row r="47" spans="1:8" ht="15" hidden="1">
      <c r="A47" s="222" t="s">
        <v>152</v>
      </c>
      <c r="B47" s="177">
        <f>[2]cárter!$B158</f>
        <v>6.07</v>
      </c>
      <c r="C47" s="165">
        <f t="shared" si="0"/>
        <v>128.05907172995779</v>
      </c>
      <c r="D47" s="165">
        <f t="shared" si="1"/>
        <v>0.16501650165017256</v>
      </c>
      <c r="E47" s="165">
        <f t="shared" ref="E47:E52" si="7">100*(B47/B$46-1)</f>
        <v>0.16501650165017256</v>
      </c>
      <c r="F47" s="226">
        <f t="shared" si="3"/>
        <v>11.992619926199266</v>
      </c>
      <c r="G47" s="185">
        <f t="shared" si="5"/>
        <v>16.50671785028792</v>
      </c>
      <c r="H47" s="174">
        <f>+B$211/B47</f>
        <v>3.1936926335608384</v>
      </c>
    </row>
    <row r="48" spans="1:8" ht="15" hidden="1">
      <c r="A48" s="222" t="s">
        <v>153</v>
      </c>
      <c r="B48" s="177">
        <f>[2]cárter!$B159</f>
        <v>6.1</v>
      </c>
      <c r="C48" s="165">
        <f t="shared" si="0"/>
        <v>128.69198312236287</v>
      </c>
      <c r="D48" s="165">
        <f t="shared" si="1"/>
        <v>0.49423393739702615</v>
      </c>
      <c r="E48" s="165">
        <f t="shared" si="7"/>
        <v>0.66006600660066805</v>
      </c>
      <c r="F48" s="226">
        <f t="shared" si="3"/>
        <v>7.9646017699114946</v>
      </c>
      <c r="G48" s="185">
        <f t="shared" si="5"/>
        <v>17.307692307692292</v>
      </c>
      <c r="H48" s="174">
        <f>+B$211/B48</f>
        <v>3.1779859484777524</v>
      </c>
    </row>
    <row r="49" spans="1:8" ht="15" hidden="1">
      <c r="A49" s="222" t="s">
        <v>154</v>
      </c>
      <c r="B49" s="177">
        <f>[2]cárter!$B160</f>
        <v>6.15</v>
      </c>
      <c r="C49" s="165">
        <f t="shared" si="0"/>
        <v>129.74683544303798</v>
      </c>
      <c r="D49" s="165">
        <f t="shared" si="1"/>
        <v>0.819672131147553</v>
      </c>
      <c r="E49" s="165">
        <f t="shared" si="7"/>
        <v>1.4851485148514865</v>
      </c>
      <c r="F49" s="226">
        <f t="shared" si="3"/>
        <v>2.6711185308848195</v>
      </c>
      <c r="G49" s="185">
        <f t="shared" si="5"/>
        <v>17.366412213740468</v>
      </c>
      <c r="H49" s="174">
        <f>+B$211/B49</f>
        <v>3.1521486643437866</v>
      </c>
    </row>
    <row r="50" spans="1:8" ht="15" hidden="1">
      <c r="A50" s="222" t="s">
        <v>155</v>
      </c>
      <c r="B50" s="177">
        <f>[2]cárter!$B161</f>
        <v>6.13</v>
      </c>
      <c r="C50" s="165">
        <f t="shared" si="0"/>
        <v>129.32489451476792</v>
      </c>
      <c r="D50" s="183">
        <f t="shared" si="1"/>
        <v>-0.32520325203252431</v>
      </c>
      <c r="E50" s="183">
        <f t="shared" si="7"/>
        <v>1.1551155115511635</v>
      </c>
      <c r="F50" s="184">
        <f t="shared" ref="F50:F64" si="8">(100*(B50/B38-1))</f>
        <v>1.490066225165565</v>
      </c>
      <c r="G50" s="185">
        <f t="shared" ref="G50:G77" si="9">100*(B50/B26-1)</f>
        <v>15.879017013232509</v>
      </c>
      <c r="H50" s="174">
        <f>+B$211/B50</f>
        <v>3.1624329993008629</v>
      </c>
    </row>
    <row r="51" spans="1:8" ht="15" hidden="1">
      <c r="A51" s="222" t="s">
        <v>156</v>
      </c>
      <c r="B51" s="177">
        <f>[2]cárter!$B162</f>
        <v>6.19</v>
      </c>
      <c r="C51" s="165">
        <f t="shared" si="0"/>
        <v>130.59071729957805</v>
      </c>
      <c r="D51" s="183">
        <f>100*(B51/B50-1)</f>
        <v>0.97879282218598096</v>
      </c>
      <c r="E51" s="183">
        <f t="shared" si="7"/>
        <v>2.1452145214521545</v>
      </c>
      <c r="F51" s="184">
        <f t="shared" si="8"/>
        <v>3.1666666666666732</v>
      </c>
      <c r="G51" s="185">
        <f t="shared" si="9"/>
        <v>11.330935251798579</v>
      </c>
      <c r="H51" s="174">
        <f>+B$211/B51</f>
        <v>3.1317793676436652</v>
      </c>
    </row>
    <row r="52" spans="1:8" ht="15" hidden="1">
      <c r="A52" s="222" t="s">
        <v>157</v>
      </c>
      <c r="B52" s="177">
        <f>[2]cárter!$B163</f>
        <v>6.1905999999999999</v>
      </c>
      <c r="C52" s="165">
        <f t="shared" si="0"/>
        <v>130.60337552742615</v>
      </c>
      <c r="D52" s="183">
        <f>100*(B52/B51-1)</f>
        <v>9.6930533117767226E-3</v>
      </c>
      <c r="E52" s="183">
        <f t="shared" si="7"/>
        <v>2.1551155115511644</v>
      </c>
      <c r="F52" s="184">
        <f t="shared" si="8"/>
        <v>3.6951423785594573</v>
      </c>
      <c r="G52" s="185">
        <f t="shared" si="9"/>
        <v>11.542342342342348</v>
      </c>
      <c r="H52" s="174">
        <f>+B$211/B52</f>
        <v>3.1314758320218217</v>
      </c>
    </row>
    <row r="53" spans="1:8" ht="15" hidden="1">
      <c r="A53" s="222" t="s">
        <v>158</v>
      </c>
      <c r="B53" s="177">
        <f>[2]cárter!$B164</f>
        <v>6.5968999999999998</v>
      </c>
      <c r="C53" s="165">
        <f t="shared" si="0"/>
        <v>139.17510548523205</v>
      </c>
      <c r="D53" s="183">
        <f>100*(B53/B52-1)</f>
        <v>6.563176428779105</v>
      </c>
      <c r="E53" s="183">
        <f t="shared" ref="E53:E58" si="10">100*(B53/B$46-1)</f>
        <v>8.8597359735973704</v>
      </c>
      <c r="F53" s="184">
        <f t="shared" si="8"/>
        <v>8.8597359735973704</v>
      </c>
      <c r="G53" s="185">
        <f t="shared" si="9"/>
        <v>19.943636363636365</v>
      </c>
      <c r="H53" s="174">
        <f>+B$211/B53</f>
        <v>2.9386096932975021</v>
      </c>
    </row>
    <row r="54" spans="1:8" ht="15" hidden="1">
      <c r="A54" s="222" t="s">
        <v>159</v>
      </c>
      <c r="B54" s="177">
        <f>[2]cárter!$B165</f>
        <v>6.55</v>
      </c>
      <c r="C54" s="165">
        <f t="shared" si="0"/>
        <v>138.1856540084388</v>
      </c>
      <c r="D54" s="183">
        <f t="shared" ref="D54:D117" si="11">100*(B54/B53-1)</f>
        <v>-0.71093998696357685</v>
      </c>
      <c r="E54" s="183">
        <f t="shared" si="10"/>
        <v>8.0858085808580995</v>
      </c>
      <c r="F54" s="184">
        <f t="shared" si="8"/>
        <v>9.8993288590603967</v>
      </c>
      <c r="G54" s="185">
        <f t="shared" si="9"/>
        <v>20.626151012891359</v>
      </c>
      <c r="H54" s="174">
        <f>+B$211/B54</f>
        <v>2.9596510359869144</v>
      </c>
    </row>
    <row r="55" spans="1:8" ht="14.25" hidden="1" customHeight="1">
      <c r="A55" s="222" t="s">
        <v>160</v>
      </c>
      <c r="B55" s="177">
        <f>[2]cárter!$B166</f>
        <v>6.5093750000000004</v>
      </c>
      <c r="C55" s="165">
        <f t="shared" si="0"/>
        <v>137.32858649789029</v>
      </c>
      <c r="D55" s="183">
        <f t="shared" si="11"/>
        <v>-0.62022900763357702</v>
      </c>
      <c r="E55" s="183">
        <f t="shared" si="10"/>
        <v>7.415429042904309</v>
      </c>
      <c r="F55" s="184">
        <f t="shared" si="8"/>
        <v>9.217701342281881</v>
      </c>
      <c r="G55" s="185">
        <f t="shared" si="9"/>
        <v>16.65546594982079</v>
      </c>
      <c r="H55" s="174">
        <f>+B$211/B55</f>
        <v>2.9781222138399293</v>
      </c>
    </row>
    <row r="56" spans="1:8" ht="14.25" hidden="1" customHeight="1">
      <c r="A56" s="222" t="s">
        <v>161</v>
      </c>
      <c r="B56" s="177">
        <f>[2]cárter!$B167</f>
        <v>6.5</v>
      </c>
      <c r="C56" s="165">
        <f t="shared" si="0"/>
        <v>137.13080168776369</v>
      </c>
      <c r="D56" s="183">
        <f t="shared" si="11"/>
        <v>-0.14402304368699159</v>
      </c>
      <c r="E56" s="183">
        <f t="shared" si="10"/>
        <v>7.2607260726072598</v>
      </c>
      <c r="F56" s="184">
        <f t="shared" si="8"/>
        <v>6.9078947368421018</v>
      </c>
      <c r="G56" s="185">
        <f t="shared" si="9"/>
        <v>18.829981718464349</v>
      </c>
      <c r="H56" s="174">
        <f>+B$211/B56</f>
        <v>2.9824175824175829</v>
      </c>
    </row>
    <row r="57" spans="1:8" ht="14.25" hidden="1" customHeight="1">
      <c r="A57" s="222" t="s">
        <v>162</v>
      </c>
      <c r="B57" s="177">
        <f>[2]cárter!$B168</f>
        <v>6.6031250000000004</v>
      </c>
      <c r="C57" s="165">
        <f t="shared" si="0"/>
        <v>139.30643459915612</v>
      </c>
      <c r="D57" s="183">
        <f t="shared" si="11"/>
        <v>1.586538461538467</v>
      </c>
      <c r="E57" s="183">
        <f t="shared" si="10"/>
        <v>8.9624587458746028</v>
      </c>
      <c r="F57" s="184">
        <f t="shared" si="8"/>
        <v>8.4256978653530545</v>
      </c>
      <c r="G57" s="185">
        <f t="shared" si="9"/>
        <v>20.494981751824824</v>
      </c>
      <c r="H57" s="174">
        <f>+B$211/B57</f>
        <v>2.9358393617740521</v>
      </c>
    </row>
    <row r="58" spans="1:8" ht="14.25" hidden="1" customHeight="1">
      <c r="A58" s="222" t="s">
        <v>163</v>
      </c>
      <c r="B58" s="177">
        <f>[2]cárter!$B169</f>
        <v>6.55</v>
      </c>
      <c r="C58" s="165">
        <f t="shared" si="0"/>
        <v>138.1856540084388</v>
      </c>
      <c r="D58" s="183">
        <f t="shared" si="11"/>
        <v>-0.80454330336016122</v>
      </c>
      <c r="E58" s="183">
        <f t="shared" si="10"/>
        <v>8.0858085808580995</v>
      </c>
      <c r="F58" s="184">
        <f t="shared" si="8"/>
        <v>8.0858085808580995</v>
      </c>
      <c r="G58" s="185">
        <f t="shared" si="9"/>
        <v>17.867232909251229</v>
      </c>
      <c r="H58" s="174">
        <f>+B$211/B58</f>
        <v>2.9596510359869144</v>
      </c>
    </row>
    <row r="59" spans="1:8" ht="14.25" hidden="1" customHeight="1">
      <c r="A59" s="222" t="s">
        <v>164</v>
      </c>
      <c r="B59" s="177">
        <f>[2]cárter!$B170</f>
        <v>6.4718749999999998</v>
      </c>
      <c r="C59" s="165">
        <f t="shared" si="0"/>
        <v>136.53744725738397</v>
      </c>
      <c r="D59" s="183">
        <f t="shared" si="11"/>
        <v>-1.1927480916030575</v>
      </c>
      <c r="E59" s="183">
        <f t="shared" ref="E59:E70" si="12">100*(B59/B$58-1)</f>
        <v>-1.1927480916030575</v>
      </c>
      <c r="F59" s="184">
        <f t="shared" si="8"/>
        <v>6.6206754530477641</v>
      </c>
      <c r="G59" s="185">
        <f t="shared" si="9"/>
        <v>19.407287822878217</v>
      </c>
      <c r="H59" s="174">
        <f>+B$211/B59</f>
        <v>2.995378354142237</v>
      </c>
    </row>
    <row r="60" spans="1:8" ht="14.25" hidden="1" customHeight="1">
      <c r="A60" s="222" t="s">
        <v>165</v>
      </c>
      <c r="B60" s="177">
        <f>[2]cárter!$B171</f>
        <v>6.45</v>
      </c>
      <c r="C60" s="165">
        <f t="shared" si="0"/>
        <v>136.07594936708861</v>
      </c>
      <c r="D60" s="183">
        <f t="shared" si="11"/>
        <v>-0.33800096571704463</v>
      </c>
      <c r="E60" s="183">
        <f t="shared" si="12"/>
        <v>-1.5267175572518998</v>
      </c>
      <c r="F60" s="184">
        <f t="shared" si="8"/>
        <v>5.7377049180328044</v>
      </c>
      <c r="G60" s="185">
        <f t="shared" si="9"/>
        <v>14.159292035398231</v>
      </c>
      <c r="H60" s="174">
        <f>+B$211/B60</f>
        <v>3.0055370985603549</v>
      </c>
    </row>
    <row r="61" spans="1:8" ht="14.25" hidden="1" customHeight="1">
      <c r="A61" s="222" t="s">
        <v>166</v>
      </c>
      <c r="B61" s="177">
        <f>[2]cárter!$B172</f>
        <v>6.6031250000000004</v>
      </c>
      <c r="C61" s="165">
        <f t="shared" si="0"/>
        <v>139.30643459915612</v>
      </c>
      <c r="D61" s="183">
        <f t="shared" si="11"/>
        <v>2.3740310077519311</v>
      </c>
      <c r="E61" s="183">
        <f t="shared" si="12"/>
        <v>0.81106870229008532</v>
      </c>
      <c r="F61" s="184">
        <f t="shared" si="8"/>
        <v>7.3678861788617933</v>
      </c>
      <c r="G61" s="185">
        <f t="shared" si="9"/>
        <v>10.235809682804685</v>
      </c>
      <c r="H61" s="174">
        <f>+B$211/B61</f>
        <v>2.9358393617740521</v>
      </c>
    </row>
    <row r="62" spans="1:8" ht="14.25" hidden="1" customHeight="1">
      <c r="A62" s="222" t="s">
        <v>167</v>
      </c>
      <c r="B62" s="177">
        <f>[2]cárter!$B173</f>
        <v>6.7125000000000004</v>
      </c>
      <c r="C62" s="165">
        <f t="shared" si="0"/>
        <v>141.6139240506329</v>
      </c>
      <c r="D62" s="183">
        <f t="shared" si="11"/>
        <v>1.6564126833885418</v>
      </c>
      <c r="E62" s="183">
        <f t="shared" si="12"/>
        <v>2.4809160305343525</v>
      </c>
      <c r="F62" s="184">
        <f t="shared" si="8"/>
        <v>9.5024469820554671</v>
      </c>
      <c r="G62" s="185">
        <f t="shared" si="9"/>
        <v>11.134105960264895</v>
      </c>
      <c r="H62" s="174">
        <f>+B$211/B62</f>
        <v>2.8880021282255925</v>
      </c>
    </row>
    <row r="63" spans="1:8" ht="14.25" hidden="1" customHeight="1">
      <c r="A63" s="222" t="s">
        <v>168</v>
      </c>
      <c r="B63" s="177">
        <f>[2]cárter!$B174</f>
        <v>6.9968750000000002</v>
      </c>
      <c r="C63" s="165">
        <f t="shared" si="0"/>
        <v>147.61339662447256</v>
      </c>
      <c r="D63" s="183">
        <f t="shared" si="11"/>
        <v>4.2364990689013116</v>
      </c>
      <c r="E63" s="183">
        <f t="shared" si="12"/>
        <v>6.8225190839694694</v>
      </c>
      <c r="F63" s="184">
        <f t="shared" si="8"/>
        <v>13.035137318255252</v>
      </c>
      <c r="G63" s="185">
        <f t="shared" si="9"/>
        <v>16.614583333333343</v>
      </c>
      <c r="H63" s="174">
        <f>+B$211/B63</f>
        <v>2.7706246411025335</v>
      </c>
    </row>
    <row r="64" spans="1:8" ht="14.25" hidden="1" customHeight="1">
      <c r="A64" s="222" t="s">
        <v>169</v>
      </c>
      <c r="B64" s="177">
        <f>[2]cárter!$B175</f>
        <v>7.3</v>
      </c>
      <c r="C64" s="165">
        <f t="shared" si="0"/>
        <v>154.00843881856539</v>
      </c>
      <c r="D64" s="183">
        <f t="shared" si="11"/>
        <v>4.3322912014291948</v>
      </c>
      <c r="E64" s="183">
        <f t="shared" si="12"/>
        <v>11.45038167938932</v>
      </c>
      <c r="F64" s="184">
        <f t="shared" si="8"/>
        <v>17.920718508706756</v>
      </c>
      <c r="G64" s="185">
        <f t="shared" si="9"/>
        <v>22.278056951423796</v>
      </c>
      <c r="H64" s="174">
        <f>+B$211/B64</f>
        <v>2.6555772994129163</v>
      </c>
    </row>
    <row r="65" spans="1:8" ht="14.25" hidden="1" customHeight="1">
      <c r="A65" s="222" t="s">
        <v>170</v>
      </c>
      <c r="B65" s="177">
        <f>[2]cárter!$B176</f>
        <v>7.4</v>
      </c>
      <c r="C65" s="165">
        <f t="shared" si="0"/>
        <v>156.11814345991561</v>
      </c>
      <c r="D65" s="183">
        <f t="shared" si="11"/>
        <v>1.3698630136986356</v>
      </c>
      <c r="E65" s="183">
        <f t="shared" si="12"/>
        <v>12.977099236641232</v>
      </c>
      <c r="F65" s="184">
        <f t="shared" ref="F65:F128" si="13">(100*(B65/B53-1))</f>
        <v>12.173899862056437</v>
      </c>
      <c r="G65" s="185">
        <f t="shared" si="9"/>
        <v>22.112211221122124</v>
      </c>
      <c r="H65" s="174">
        <f>+B$211/B65</f>
        <v>2.6196911196911201</v>
      </c>
    </row>
    <row r="66" spans="1:8" ht="14.25" hidden="1" customHeight="1">
      <c r="A66" s="222" t="s">
        <v>171</v>
      </c>
      <c r="B66" s="177">
        <f>[2]cárter!$B177</f>
        <v>7.45</v>
      </c>
      <c r="C66" s="165">
        <f t="shared" si="0"/>
        <v>157.1729957805907</v>
      </c>
      <c r="D66" s="183">
        <f t="shared" si="11"/>
        <v>0.67567567567567988</v>
      </c>
      <c r="E66" s="183">
        <f t="shared" si="12"/>
        <v>13.740458015267176</v>
      </c>
      <c r="F66" s="184">
        <f t="shared" si="13"/>
        <v>13.740458015267176</v>
      </c>
      <c r="G66" s="185">
        <f t="shared" si="9"/>
        <v>25</v>
      </c>
      <c r="H66" s="174">
        <f>+B$211/B66</f>
        <v>2.6021093000958779</v>
      </c>
    </row>
    <row r="67" spans="1:8" ht="14.25" hidden="1" customHeight="1">
      <c r="A67" s="222" t="s">
        <v>172</v>
      </c>
      <c r="B67" s="177">
        <f>[2]cárter!$B178</f>
        <v>7.5</v>
      </c>
      <c r="C67" s="165">
        <f t="shared" si="0"/>
        <v>158.22784810126581</v>
      </c>
      <c r="D67" s="183">
        <f t="shared" si="11"/>
        <v>0.67114093959730337</v>
      </c>
      <c r="E67" s="183">
        <f t="shared" si="12"/>
        <v>14.503816793893144</v>
      </c>
      <c r="F67" s="184">
        <f t="shared" si="13"/>
        <v>15.21843494959192</v>
      </c>
      <c r="G67" s="185">
        <f t="shared" si="9"/>
        <v>25.838926174496635</v>
      </c>
      <c r="H67" s="174">
        <f>+B$211/B67</f>
        <v>2.5847619047619053</v>
      </c>
    </row>
    <row r="68" spans="1:8" ht="14.25" hidden="1" customHeight="1">
      <c r="A68" s="222" t="s">
        <v>173</v>
      </c>
      <c r="B68" s="177">
        <f>[2]cárter!$B179</f>
        <v>7.55</v>
      </c>
      <c r="C68" s="165">
        <f t="shared" si="0"/>
        <v>159.28270042194092</v>
      </c>
      <c r="D68" s="183">
        <f t="shared" si="11"/>
        <v>0.66666666666665986</v>
      </c>
      <c r="E68" s="183">
        <f t="shared" si="12"/>
        <v>15.267175572519086</v>
      </c>
      <c r="F68" s="184">
        <f t="shared" si="13"/>
        <v>16.153846153846139</v>
      </c>
      <c r="G68" s="185">
        <f t="shared" si="9"/>
        <v>24.177631578947366</v>
      </c>
      <c r="H68" s="174">
        <f>+B$211/B68</f>
        <v>2.5676442762535485</v>
      </c>
    </row>
    <row r="69" spans="1:8" ht="14.25" hidden="1" customHeight="1">
      <c r="A69" s="222" t="s">
        <v>174</v>
      </c>
      <c r="B69" s="177">
        <f>[2]cárter!$B180</f>
        <v>7.6</v>
      </c>
      <c r="C69" s="165">
        <f t="shared" si="0"/>
        <v>160.33755274261603</v>
      </c>
      <c r="D69" s="183">
        <f t="shared" si="11"/>
        <v>0.66225165562914245</v>
      </c>
      <c r="E69" s="183">
        <f t="shared" si="12"/>
        <v>16.030534351145032</v>
      </c>
      <c r="F69" s="184">
        <f t="shared" si="13"/>
        <v>15.097018457169886</v>
      </c>
      <c r="G69" s="185">
        <f t="shared" si="9"/>
        <v>24.794745484400661</v>
      </c>
      <c r="H69" s="174">
        <f>+B$211/B69</f>
        <v>2.5507518796992485</v>
      </c>
    </row>
    <row r="70" spans="1:8" ht="14.25" hidden="1" customHeight="1">
      <c r="A70" s="222" t="s">
        <v>175</v>
      </c>
      <c r="B70" s="177">
        <f>[2]cárter!$B181</f>
        <v>7.55</v>
      </c>
      <c r="C70" s="165">
        <f t="shared" si="0"/>
        <v>159.28270042194092</v>
      </c>
      <c r="D70" s="183">
        <f t="shared" si="11"/>
        <v>-0.65789473684210176</v>
      </c>
      <c r="E70" s="183">
        <f t="shared" si="12"/>
        <v>15.267175572519086</v>
      </c>
      <c r="F70" s="184">
        <f t="shared" si="13"/>
        <v>15.267175572519086</v>
      </c>
      <c r="G70" s="185">
        <f t="shared" si="9"/>
        <v>24.587458745874603</v>
      </c>
      <c r="H70" s="174">
        <f>+B$211/B70</f>
        <v>2.5676442762535485</v>
      </c>
    </row>
    <row r="71" spans="1:8" ht="14.25" hidden="1" customHeight="1">
      <c r="A71" s="222" t="s">
        <v>176</v>
      </c>
      <c r="B71" s="177">
        <f>[2]cárter!$B182</f>
        <v>7.5</v>
      </c>
      <c r="C71" s="165">
        <f t="shared" si="0"/>
        <v>158.22784810126581</v>
      </c>
      <c r="D71" s="183">
        <f t="shared" si="11"/>
        <v>-0.66225165562913135</v>
      </c>
      <c r="E71" s="183">
        <f t="shared" ref="E71:E82" si="14">100*(B71/B$70-1)</f>
        <v>-0.66225165562913135</v>
      </c>
      <c r="F71" s="184">
        <f t="shared" si="13"/>
        <v>15.88604538870111</v>
      </c>
      <c r="G71" s="185">
        <f t="shared" si="9"/>
        <v>23.558484349258645</v>
      </c>
      <c r="H71" s="174">
        <f>+B$211/B71</f>
        <v>2.5847619047619053</v>
      </c>
    </row>
    <row r="72" spans="1:8" ht="14.25" hidden="1" customHeight="1">
      <c r="A72" s="222" t="s">
        <v>177</v>
      </c>
      <c r="B72" s="177">
        <f>[2]cárter!$B183</f>
        <v>7.45</v>
      </c>
      <c r="C72" s="165">
        <f t="shared" si="0"/>
        <v>157.1729957805907</v>
      </c>
      <c r="D72" s="183">
        <f t="shared" si="11"/>
        <v>-0.66666666666665986</v>
      </c>
      <c r="E72" s="183">
        <f t="shared" si="14"/>
        <v>-1.3245033112582738</v>
      </c>
      <c r="F72" s="184">
        <f t="shared" si="13"/>
        <v>15.503875968992254</v>
      </c>
      <c r="G72" s="185">
        <f t="shared" si="9"/>
        <v>22.131147540983619</v>
      </c>
      <c r="H72" s="174">
        <f>+B$211/B72</f>
        <v>2.6021093000958779</v>
      </c>
    </row>
    <row r="73" spans="1:8" ht="14.25" hidden="1" customHeight="1">
      <c r="A73" s="222" t="s">
        <v>178</v>
      </c>
      <c r="B73" s="177">
        <f>[2]cárter!$B184</f>
        <v>7.5</v>
      </c>
      <c r="C73" s="165">
        <f t="shared" si="0"/>
        <v>158.22784810126581</v>
      </c>
      <c r="D73" s="183">
        <f t="shared" si="11"/>
        <v>0.67114093959730337</v>
      </c>
      <c r="E73" s="183">
        <f t="shared" si="14"/>
        <v>-0.66225165562913135</v>
      </c>
      <c r="F73" s="184">
        <f t="shared" si="13"/>
        <v>13.582584003786069</v>
      </c>
      <c r="G73" s="185">
        <f t="shared" si="9"/>
        <v>21.95121951219512</v>
      </c>
      <c r="H73" s="174">
        <f>+B$211/B73</f>
        <v>2.5847619047619053</v>
      </c>
    </row>
    <row r="74" spans="1:8" ht="14.25" hidden="1" customHeight="1">
      <c r="A74" s="222" t="s">
        <v>179</v>
      </c>
      <c r="B74" s="177">
        <f>[2]cárter!$B185</f>
        <v>7.55</v>
      </c>
      <c r="C74" s="165">
        <f t="shared" si="0"/>
        <v>159.28270042194092</v>
      </c>
      <c r="D74" s="183">
        <f t="shared" si="11"/>
        <v>0.66666666666665986</v>
      </c>
      <c r="E74" s="183">
        <f t="shared" si="14"/>
        <v>0</v>
      </c>
      <c r="F74" s="184">
        <f t="shared" si="13"/>
        <v>12.476722532588447</v>
      </c>
      <c r="G74" s="185">
        <f t="shared" si="9"/>
        <v>23.164763458401303</v>
      </c>
      <c r="H74" s="174">
        <f>+B$211/B74</f>
        <v>2.5676442762535485</v>
      </c>
    </row>
    <row r="75" spans="1:8" ht="14.25" hidden="1" customHeight="1">
      <c r="A75" s="222" t="s">
        <v>180</v>
      </c>
      <c r="B75" s="177">
        <f>[2]cárter!$B186</f>
        <v>7.6</v>
      </c>
      <c r="C75" s="165">
        <f t="shared" si="0"/>
        <v>160.33755274261603</v>
      </c>
      <c r="D75" s="183">
        <f t="shared" si="11"/>
        <v>0.66225165562914245</v>
      </c>
      <c r="E75" s="183">
        <f t="shared" si="14"/>
        <v>0.66225165562914245</v>
      </c>
      <c r="F75" s="184">
        <f t="shared" si="13"/>
        <v>8.6199196069673967</v>
      </c>
      <c r="G75" s="185">
        <f t="shared" si="9"/>
        <v>22.778675282714044</v>
      </c>
      <c r="H75" s="174">
        <f>+B$211/B75</f>
        <v>2.5507518796992485</v>
      </c>
    </row>
    <row r="76" spans="1:8" ht="14.25" hidden="1" customHeight="1">
      <c r="A76" s="222" t="s">
        <v>181</v>
      </c>
      <c r="B76" s="177">
        <f>[2]cárter!$B187</f>
        <v>7.5</v>
      </c>
      <c r="C76" s="165">
        <f t="shared" si="0"/>
        <v>158.22784810126581</v>
      </c>
      <c r="D76" s="183">
        <f t="shared" si="11"/>
        <v>-1.3157894736842035</v>
      </c>
      <c r="E76" s="183">
        <f t="shared" si="14"/>
        <v>-0.66225165562913135</v>
      </c>
      <c r="F76" s="184">
        <f t="shared" si="13"/>
        <v>2.7397260273972712</v>
      </c>
      <c r="G76" s="185">
        <f t="shared" si="9"/>
        <v>21.151423125383651</v>
      </c>
      <c r="H76" s="174">
        <f>+B$211/B76</f>
        <v>2.5847619047619053</v>
      </c>
    </row>
    <row r="77" spans="1:8" ht="14.25" hidden="1" customHeight="1">
      <c r="A77" s="222" t="s">
        <v>182</v>
      </c>
      <c r="B77" s="177">
        <f>[2]cárter!$B188</f>
        <v>7.58</v>
      </c>
      <c r="C77" s="165">
        <f t="shared" si="0"/>
        <v>159.91561181434599</v>
      </c>
      <c r="D77" s="183">
        <f t="shared" si="11"/>
        <v>1.0666666666666602</v>
      </c>
      <c r="E77" s="183">
        <f t="shared" si="14"/>
        <v>0.39735099337747659</v>
      </c>
      <c r="F77" s="184">
        <f t="shared" si="13"/>
        <v>2.4324324324324298</v>
      </c>
      <c r="G77" s="185">
        <f t="shared" si="9"/>
        <v>14.902454183025359</v>
      </c>
      <c r="H77" s="174">
        <f>+B$211/B77</f>
        <v>2.5574820957406716</v>
      </c>
    </row>
    <row r="78" spans="1:8" ht="14.25" hidden="1" customHeight="1">
      <c r="A78" s="222" t="s">
        <v>183</v>
      </c>
      <c r="B78" s="177">
        <f>[2]cárter!$B189</f>
        <v>7.65</v>
      </c>
      <c r="C78" s="165">
        <f t="shared" si="0"/>
        <v>161.39240506329114</v>
      </c>
      <c r="D78" s="183">
        <f t="shared" si="11"/>
        <v>0.923482849604218</v>
      </c>
      <c r="E78" s="183">
        <f t="shared" si="14"/>
        <v>1.3245033112582849</v>
      </c>
      <c r="F78" s="184">
        <f t="shared" si="13"/>
        <v>2.6845637583892579</v>
      </c>
      <c r="G78" s="185">
        <f t="shared" ref="G78:G130" si="15">100*(B78/B54-1)</f>
        <v>16.793893129771</v>
      </c>
      <c r="H78" s="174">
        <f>+B$211/B78</f>
        <v>2.5340802987861815</v>
      </c>
    </row>
    <row r="79" spans="1:8" ht="14.25" hidden="1" customHeight="1">
      <c r="A79" s="222" t="s">
        <v>184</v>
      </c>
      <c r="B79" s="177">
        <f>[2]cárter!$B190</f>
        <v>7.7</v>
      </c>
      <c r="C79" s="165">
        <f t="shared" si="0"/>
        <v>162.44725738396625</v>
      </c>
      <c r="D79" s="183">
        <f t="shared" si="11"/>
        <v>0.65359477124182774</v>
      </c>
      <c r="E79" s="183">
        <f t="shared" si="14"/>
        <v>1.9867549668874274</v>
      </c>
      <c r="F79" s="184">
        <f t="shared" si="13"/>
        <v>2.6666666666666616</v>
      </c>
      <c r="G79" s="185">
        <f t="shared" si="15"/>
        <v>18.290926548247711</v>
      </c>
      <c r="H79" s="174">
        <f>+B$211/B79</f>
        <v>2.5176252319109467</v>
      </c>
    </row>
    <row r="80" spans="1:8" ht="14.25" hidden="1" customHeight="1">
      <c r="A80" s="222" t="s">
        <v>185</v>
      </c>
      <c r="B80" s="177">
        <f>[2]cárter!$B191</f>
        <v>7.8</v>
      </c>
      <c r="C80" s="165">
        <f t="shared" si="0"/>
        <v>164.55696202531644</v>
      </c>
      <c r="D80" s="183">
        <f t="shared" si="11"/>
        <v>1.298701298701288</v>
      </c>
      <c r="E80" s="183">
        <f t="shared" si="14"/>
        <v>3.3112582781456901</v>
      </c>
      <c r="F80" s="184">
        <f t="shared" si="13"/>
        <v>3.3112582781456901</v>
      </c>
      <c r="G80" s="185">
        <f t="shared" si="15"/>
        <v>19.999999999999996</v>
      </c>
      <c r="H80" s="174">
        <f>+B$211/B80</f>
        <v>2.4853479853479858</v>
      </c>
    </row>
    <row r="81" spans="1:8" ht="14.25" hidden="1" customHeight="1">
      <c r="A81" s="222" t="s">
        <v>186</v>
      </c>
      <c r="B81" s="177">
        <f>[2]cárter!$B192</f>
        <v>7.8687500000000004</v>
      </c>
      <c r="C81" s="165">
        <f t="shared" si="0"/>
        <v>166.00738396624473</v>
      </c>
      <c r="D81" s="183">
        <f t="shared" si="11"/>
        <v>0.88141025641026438</v>
      </c>
      <c r="E81" s="183">
        <f t="shared" si="14"/>
        <v>4.2218543046357748</v>
      </c>
      <c r="F81" s="184">
        <f t="shared" si="13"/>
        <v>3.5361842105263275</v>
      </c>
      <c r="G81" s="185">
        <f t="shared" si="15"/>
        <v>19.1670610506389</v>
      </c>
      <c r="H81" s="174">
        <f>+B$211/B81</f>
        <v>2.4636332690343816</v>
      </c>
    </row>
    <row r="82" spans="1:8" ht="14.25" hidden="1" customHeight="1">
      <c r="A82" s="222" t="s">
        <v>187</v>
      </c>
      <c r="B82" s="177">
        <f>[2]cárter!$B193</f>
        <v>7.9718749999999998</v>
      </c>
      <c r="C82" s="165">
        <f t="shared" si="0"/>
        <v>168.18301687763713</v>
      </c>
      <c r="D82" s="183">
        <f t="shared" si="11"/>
        <v>1.3105639396346236</v>
      </c>
      <c r="E82" s="183">
        <f t="shared" si="14"/>
        <v>5.5877483443708575</v>
      </c>
      <c r="F82" s="184">
        <f t="shared" si="13"/>
        <v>5.5877483443708575</v>
      </c>
      <c r="G82" s="185">
        <f t="shared" si="15"/>
        <v>21.708015267175561</v>
      </c>
      <c r="H82" s="174">
        <f>+B$211/B82</f>
        <v>2.4317634541076334</v>
      </c>
    </row>
    <row r="83" spans="1:8" ht="14.25" hidden="1" customHeight="1">
      <c r="A83" s="222" t="s">
        <v>188</v>
      </c>
      <c r="B83" s="177">
        <f>[2]cárter!$B194</f>
        <v>8.1286000000000005</v>
      </c>
      <c r="C83" s="165">
        <f t="shared" si="0"/>
        <v>171.48945147679325</v>
      </c>
      <c r="D83" s="183">
        <f t="shared" si="11"/>
        <v>1.9659741277930243</v>
      </c>
      <c r="E83" s="183">
        <f t="shared" ref="E83:E94" si="16">100*(B83/B$82-1)</f>
        <v>1.9659741277930243</v>
      </c>
      <c r="F83" s="184">
        <f t="shared" si="13"/>
        <v>8.3813333333333304</v>
      </c>
      <c r="G83" s="185">
        <f t="shared" si="15"/>
        <v>25.598841139546114</v>
      </c>
      <c r="H83" s="174">
        <f>+B$211/B83</f>
        <v>2.3848773818018216</v>
      </c>
    </row>
    <row r="84" spans="1:8" ht="14.25" hidden="1" customHeight="1">
      <c r="A84" s="222" t="s">
        <v>189</v>
      </c>
      <c r="B84" s="177">
        <f>[2]cárter!$B195</f>
        <v>16</v>
      </c>
      <c r="C84" s="165">
        <f t="shared" si="0"/>
        <v>337.55274261603375</v>
      </c>
      <c r="D84" s="183">
        <f t="shared" si="11"/>
        <v>96.835863494328649</v>
      </c>
      <c r="E84" s="183">
        <f t="shared" si="16"/>
        <v>100.70560564484516</v>
      </c>
      <c r="F84" s="184">
        <f t="shared" si="13"/>
        <v>114.76510067114094</v>
      </c>
      <c r="G84" s="185">
        <f t="shared" si="15"/>
        <v>148.06201550387595</v>
      </c>
      <c r="H84" s="174">
        <f>+B$211/B84</f>
        <v>1.2116071428571431</v>
      </c>
    </row>
    <row r="85" spans="1:8" ht="14.25" hidden="1" customHeight="1">
      <c r="A85" s="222" t="s">
        <v>190</v>
      </c>
      <c r="B85" s="177">
        <f>[2]cárter!$B196</f>
        <v>13.5</v>
      </c>
      <c r="C85" s="165">
        <f t="shared" si="0"/>
        <v>284.81012658227849</v>
      </c>
      <c r="D85" s="183">
        <f t="shared" si="11"/>
        <v>-15.625</v>
      </c>
      <c r="E85" s="183">
        <f t="shared" si="16"/>
        <v>69.345354762838099</v>
      </c>
      <c r="F85" s="184">
        <f t="shared" si="13"/>
        <v>80</v>
      </c>
      <c r="G85" s="185">
        <f t="shared" si="15"/>
        <v>104.44865120681493</v>
      </c>
      <c r="H85" s="174">
        <f>+B$211/B85</f>
        <v>1.4359788359788364</v>
      </c>
    </row>
    <row r="86" spans="1:8" ht="14.25" hidden="1" customHeight="1">
      <c r="A86" s="222" t="s">
        <v>191</v>
      </c>
      <c r="B86" s="177">
        <f>[2]cárter!$B197</f>
        <v>13.5</v>
      </c>
      <c r="C86" s="165">
        <f t="shared" si="0"/>
        <v>284.81012658227849</v>
      </c>
      <c r="D86" s="183">
        <f t="shared" si="11"/>
        <v>0</v>
      </c>
      <c r="E86" s="183">
        <f t="shared" si="16"/>
        <v>69.345354762838099</v>
      </c>
      <c r="F86" s="184">
        <f t="shared" si="13"/>
        <v>78.807947019867555</v>
      </c>
      <c r="G86" s="185">
        <f t="shared" si="15"/>
        <v>101.1173184357542</v>
      </c>
      <c r="H86" s="174">
        <f>+B$211/B86</f>
        <v>1.4359788359788364</v>
      </c>
    </row>
    <row r="87" spans="1:8" ht="14.25" hidden="1" customHeight="1">
      <c r="A87" s="222" t="s">
        <v>192</v>
      </c>
      <c r="B87" s="177">
        <f>[2]cárter!$B198</f>
        <v>13.5</v>
      </c>
      <c r="C87" s="165">
        <f t="shared" si="0"/>
        <v>284.81012658227849</v>
      </c>
      <c r="D87" s="183">
        <f t="shared" si="11"/>
        <v>0</v>
      </c>
      <c r="E87" s="183">
        <f t="shared" si="16"/>
        <v>69.345354762838099</v>
      </c>
      <c r="F87" s="184">
        <f t="shared" si="13"/>
        <v>77.631578947368425</v>
      </c>
      <c r="G87" s="185">
        <f t="shared" si="15"/>
        <v>92.943278249218395</v>
      </c>
      <c r="H87" s="174">
        <f>+B$211/B87</f>
        <v>1.4359788359788364</v>
      </c>
    </row>
    <row r="88" spans="1:8" ht="14.25" hidden="1" customHeight="1">
      <c r="A88" s="222" t="s">
        <v>193</v>
      </c>
      <c r="B88" s="177">
        <f>[2]cárter!$B199</f>
        <v>13.5</v>
      </c>
      <c r="C88" s="165">
        <f t="shared" si="0"/>
        <v>284.81012658227849</v>
      </c>
      <c r="D88" s="183">
        <f t="shared" si="11"/>
        <v>0</v>
      </c>
      <c r="E88" s="183">
        <f t="shared" si="16"/>
        <v>69.345354762838099</v>
      </c>
      <c r="F88" s="184">
        <f t="shared" si="13"/>
        <v>80</v>
      </c>
      <c r="G88" s="185">
        <f t="shared" si="15"/>
        <v>84.93150684931507</v>
      </c>
      <c r="H88" s="174">
        <f>+B$211/B88</f>
        <v>1.4359788359788364</v>
      </c>
    </row>
    <row r="89" spans="1:8" ht="14.25" hidden="1" customHeight="1">
      <c r="A89" s="222" t="s">
        <v>194</v>
      </c>
      <c r="B89" s="177">
        <f>[2]cárter!$B200</f>
        <v>14.83</v>
      </c>
      <c r="C89" s="165">
        <f t="shared" si="0"/>
        <v>312.86919831223628</v>
      </c>
      <c r="D89" s="183">
        <f t="shared" si="11"/>
        <v>9.8518518518518441</v>
      </c>
      <c r="E89" s="183">
        <f t="shared" si="16"/>
        <v>86.029008232065848</v>
      </c>
      <c r="F89" s="184">
        <f t="shared" si="13"/>
        <v>95.646437994722945</v>
      </c>
      <c r="G89" s="185">
        <f t="shared" si="15"/>
        <v>100.40540540540542</v>
      </c>
      <c r="H89" s="174">
        <f>+B$211/B89</f>
        <v>1.3071958385511995</v>
      </c>
    </row>
    <row r="90" spans="1:8" ht="14.25" hidden="1" customHeight="1">
      <c r="A90" s="222" t="s">
        <v>195</v>
      </c>
      <c r="B90" s="177">
        <f>[2]cárter!$B201</f>
        <v>14.83</v>
      </c>
      <c r="C90" s="165">
        <f t="shared" si="0"/>
        <v>312.86919831223628</v>
      </c>
      <c r="D90" s="183">
        <f t="shared" si="11"/>
        <v>0</v>
      </c>
      <c r="E90" s="183">
        <f t="shared" si="16"/>
        <v>86.029008232065848</v>
      </c>
      <c r="F90" s="184">
        <f t="shared" si="13"/>
        <v>93.856209150326791</v>
      </c>
      <c r="G90" s="185">
        <f t="shared" si="15"/>
        <v>99.060402684563755</v>
      </c>
      <c r="H90" s="174">
        <f>+B$211/B90</f>
        <v>1.3071958385511995</v>
      </c>
    </row>
    <row r="91" spans="1:8" ht="14.25" hidden="1" customHeight="1">
      <c r="A91" s="222" t="s">
        <v>196</v>
      </c>
      <c r="B91" s="177">
        <f>[2]cárter!$B202</f>
        <v>14.83</v>
      </c>
      <c r="C91" s="165">
        <f t="shared" si="0"/>
        <v>312.86919831223628</v>
      </c>
      <c r="D91" s="183">
        <f t="shared" si="11"/>
        <v>0</v>
      </c>
      <c r="E91" s="183">
        <f t="shared" si="16"/>
        <v>86.029008232065848</v>
      </c>
      <c r="F91" s="184">
        <f t="shared" si="13"/>
        <v>92.597402597402592</v>
      </c>
      <c r="G91" s="185">
        <f t="shared" si="15"/>
        <v>97.733333333333334</v>
      </c>
      <c r="H91" s="174">
        <f>+B$211/B91</f>
        <v>1.3071958385511995</v>
      </c>
    </row>
    <row r="92" spans="1:8" ht="14.25" hidden="1" customHeight="1">
      <c r="A92" s="222" t="s">
        <v>197</v>
      </c>
      <c r="B92" s="177">
        <f>[2]cárter!$B203</f>
        <v>14.77</v>
      </c>
      <c r="C92" s="165">
        <f t="shared" si="0"/>
        <v>311.60337552742612</v>
      </c>
      <c r="D92" s="183">
        <f t="shared" si="11"/>
        <v>-0.40458530006743931</v>
      </c>
      <c r="E92" s="183">
        <f t="shared" si="16"/>
        <v>85.276362210897688</v>
      </c>
      <c r="F92" s="184">
        <f t="shared" si="13"/>
        <v>89.358974358974351</v>
      </c>
      <c r="G92" s="185">
        <f t="shared" si="15"/>
        <v>95.629139072847693</v>
      </c>
      <c r="H92" s="174">
        <f>+B$211/B92</f>
        <v>1.3125060450720576</v>
      </c>
    </row>
    <row r="93" spans="1:8" ht="14.25" hidden="1" customHeight="1">
      <c r="A93" s="222" t="s">
        <v>198</v>
      </c>
      <c r="B93" s="177">
        <f>[2]cárter!$B204</f>
        <v>14.77</v>
      </c>
      <c r="C93" s="165">
        <f t="shared" si="0"/>
        <v>311.60337552742612</v>
      </c>
      <c r="D93" s="183">
        <f t="shared" si="11"/>
        <v>0</v>
      </c>
      <c r="E93" s="183">
        <f t="shared" si="16"/>
        <v>85.276362210897688</v>
      </c>
      <c r="F93" s="184">
        <f t="shared" si="13"/>
        <v>87.704527402700535</v>
      </c>
      <c r="G93" s="185">
        <f t="shared" si="15"/>
        <v>94.34210526315789</v>
      </c>
      <c r="H93" s="174">
        <f>+B$211/B93</f>
        <v>1.3125060450720576</v>
      </c>
    </row>
    <row r="94" spans="1:8" ht="14.25" hidden="1" customHeight="1">
      <c r="A94" s="222" t="s">
        <v>199</v>
      </c>
      <c r="B94" s="177">
        <f>[2]cárter!$B205</f>
        <v>15.042857142857144</v>
      </c>
      <c r="C94" s="165">
        <f t="shared" si="0"/>
        <v>317.35985533453891</v>
      </c>
      <c r="D94" s="183">
        <f t="shared" si="11"/>
        <v>1.8473740206983447</v>
      </c>
      <c r="E94" s="183">
        <f t="shared" si="16"/>
        <v>88.699109592876766</v>
      </c>
      <c r="F94" s="184">
        <f t="shared" si="13"/>
        <v>88.699109592876766</v>
      </c>
      <c r="G94" s="185">
        <f t="shared" si="15"/>
        <v>99.243140964995291</v>
      </c>
      <c r="H94" s="174">
        <f>+B$211/B94</f>
        <v>1.2886989553656221</v>
      </c>
    </row>
    <row r="95" spans="1:8" ht="16.5" customHeight="1">
      <c r="A95" s="163" t="s">
        <v>200</v>
      </c>
      <c r="B95" s="177">
        <f>[2]cárter!$B206</f>
        <v>15.042857142857144</v>
      </c>
      <c r="C95" s="165">
        <f t="shared" si="0"/>
        <v>317.35985533453891</v>
      </c>
      <c r="D95" s="183">
        <f t="shared" si="11"/>
        <v>0</v>
      </c>
      <c r="E95" s="183">
        <f t="shared" ref="E95:E106" si="17">100*(B95/B$94-1)</f>
        <v>0</v>
      </c>
      <c r="F95" s="184">
        <f t="shared" si="13"/>
        <v>85.060860946007224</v>
      </c>
      <c r="G95" s="185">
        <f t="shared" si="15"/>
        <v>100.57142857142858</v>
      </c>
      <c r="H95" s="174">
        <f>+B$211/B95</f>
        <v>1.2886989553656221</v>
      </c>
    </row>
    <row r="96" spans="1:8" ht="16.5" customHeight="1">
      <c r="A96" s="163" t="s">
        <v>201</v>
      </c>
      <c r="B96" s="177">
        <f>[2]cárter!$B207</f>
        <v>15.042857142857144</v>
      </c>
      <c r="C96" s="165">
        <f t="shared" si="0"/>
        <v>317.35985533453891</v>
      </c>
      <c r="D96" s="183">
        <f t="shared" si="11"/>
        <v>0</v>
      </c>
      <c r="E96" s="183">
        <f t="shared" si="17"/>
        <v>0</v>
      </c>
      <c r="F96" s="184">
        <f t="shared" si="13"/>
        <v>-5.982142857142847</v>
      </c>
      <c r="G96" s="185">
        <f t="shared" si="15"/>
        <v>101.91754554170664</v>
      </c>
      <c r="H96" s="174">
        <f>+B$211/B96</f>
        <v>1.2886989553656221</v>
      </c>
    </row>
    <row r="97" spans="1:8" ht="16.5" customHeight="1">
      <c r="A97" s="163" t="s">
        <v>202</v>
      </c>
      <c r="B97" s="177">
        <f>[2]cárter!$B208</f>
        <v>15.042857142857144</v>
      </c>
      <c r="C97" s="165">
        <f t="shared" si="0"/>
        <v>317.35985533453891</v>
      </c>
      <c r="D97" s="183">
        <f t="shared" si="11"/>
        <v>0</v>
      </c>
      <c r="E97" s="183">
        <f t="shared" si="17"/>
        <v>0</v>
      </c>
      <c r="F97" s="184">
        <f t="shared" si="13"/>
        <v>11.428571428571432</v>
      </c>
      <c r="G97" s="185">
        <f t="shared" si="15"/>
        <v>100.57142857142858</v>
      </c>
      <c r="H97" s="174">
        <f>+B$211/B97</f>
        <v>1.2886989553656221</v>
      </c>
    </row>
    <row r="98" spans="1:8" ht="16.5" customHeight="1">
      <c r="A98" s="163" t="s">
        <v>203</v>
      </c>
      <c r="B98" s="177">
        <f>[2]cárter!$B209</f>
        <v>15.13</v>
      </c>
      <c r="C98" s="165">
        <f t="shared" si="0"/>
        <v>319.19831223628688</v>
      </c>
      <c r="D98" s="183">
        <f t="shared" si="11"/>
        <v>0.57929724596390564</v>
      </c>
      <c r="E98" s="183">
        <f t="shared" si="17"/>
        <v>0.57929724596390564</v>
      </c>
      <c r="F98" s="184">
        <f t="shared" si="13"/>
        <v>12.074074074074082</v>
      </c>
      <c r="G98" s="185">
        <f t="shared" si="15"/>
        <v>100.3973509933775</v>
      </c>
      <c r="H98" s="174">
        <f t="shared" ref="H98:H161" si="18">+B$211/B98</f>
        <v>1.2812765555660468</v>
      </c>
    </row>
    <row r="99" spans="1:8" ht="16.5" customHeight="1">
      <c r="A99" s="163" t="s">
        <v>204</v>
      </c>
      <c r="B99" s="177">
        <f>[2]cárter!$B210</f>
        <v>15.13</v>
      </c>
      <c r="C99" s="165">
        <f t="shared" si="0"/>
        <v>319.19831223628688</v>
      </c>
      <c r="D99" s="183">
        <f t="shared" si="11"/>
        <v>0</v>
      </c>
      <c r="E99" s="183">
        <f t="shared" si="17"/>
        <v>0.57929724596390564</v>
      </c>
      <c r="F99" s="184">
        <f t="shared" si="13"/>
        <v>12.074074074074082</v>
      </c>
      <c r="G99" s="185">
        <f t="shared" si="15"/>
        <v>99.078947368421069</v>
      </c>
      <c r="H99" s="174">
        <f t="shared" si="18"/>
        <v>1.2812765555660468</v>
      </c>
    </row>
    <row r="100" spans="1:8" ht="16.5" customHeight="1">
      <c r="A100" s="163" t="s">
        <v>205</v>
      </c>
      <c r="B100" s="177">
        <f>[2]cárter!$B211</f>
        <v>15.13</v>
      </c>
      <c r="C100" s="165">
        <f t="shared" si="0"/>
        <v>319.19831223628688</v>
      </c>
      <c r="D100" s="183">
        <f t="shared" si="11"/>
        <v>0</v>
      </c>
      <c r="E100" s="183">
        <f t="shared" si="17"/>
        <v>0.57929724596390564</v>
      </c>
      <c r="F100" s="184">
        <f t="shared" si="13"/>
        <v>12.074074074074082</v>
      </c>
      <c r="G100" s="185">
        <f t="shared" si="15"/>
        <v>101.73333333333336</v>
      </c>
      <c r="H100" s="174">
        <f t="shared" si="18"/>
        <v>1.2812765555660468</v>
      </c>
    </row>
    <row r="101" spans="1:8" ht="16.5" customHeight="1">
      <c r="A101" s="163" t="s">
        <v>206</v>
      </c>
      <c r="B101" s="177">
        <f>[2]cárter!$B212</f>
        <v>15.93</v>
      </c>
      <c r="C101" s="165">
        <f t="shared" si="0"/>
        <v>336.07594936708858</v>
      </c>
      <c r="D101" s="183">
        <f t="shared" si="11"/>
        <v>5.2875082617316549</v>
      </c>
      <c r="E101" s="183">
        <f t="shared" si="17"/>
        <v>5.8974358974358765</v>
      </c>
      <c r="F101" s="184">
        <f t="shared" si="13"/>
        <v>7.417397167902906</v>
      </c>
      <c r="G101" s="185">
        <f t="shared" si="15"/>
        <v>110.15831134564644</v>
      </c>
      <c r="H101" s="174">
        <f t="shared" si="18"/>
        <v>1.2169312169312172</v>
      </c>
    </row>
    <row r="102" spans="1:8" ht="16.5" customHeight="1">
      <c r="A102" s="163" t="s">
        <v>207</v>
      </c>
      <c r="B102" s="177">
        <f>[2]cárter!$B213</f>
        <v>15.49</v>
      </c>
      <c r="C102" s="165">
        <f t="shared" si="0"/>
        <v>326.79324894514764</v>
      </c>
      <c r="D102" s="183">
        <f t="shared" si="11"/>
        <v>-2.7620841180163169</v>
      </c>
      <c r="E102" s="183">
        <f t="shared" si="17"/>
        <v>2.9724596391262903</v>
      </c>
      <c r="F102" s="184">
        <f t="shared" si="13"/>
        <v>4.4504383007417436</v>
      </c>
      <c r="G102" s="185">
        <f t="shared" si="15"/>
        <v>102.48366013071895</v>
      </c>
      <c r="H102" s="174">
        <f t="shared" si="18"/>
        <v>1.2514986627317166</v>
      </c>
    </row>
    <row r="103" spans="1:8" ht="16.5" customHeight="1">
      <c r="A103" s="163" t="s">
        <v>208</v>
      </c>
      <c r="B103" s="177">
        <f>[2]cárter!$B214</f>
        <v>15.49</v>
      </c>
      <c r="C103" s="165">
        <f t="shared" si="0"/>
        <v>326.79324894514764</v>
      </c>
      <c r="D103" s="183">
        <f t="shared" si="11"/>
        <v>0</v>
      </c>
      <c r="E103" s="183">
        <f t="shared" si="17"/>
        <v>2.9724596391262903</v>
      </c>
      <c r="F103" s="184">
        <f t="shared" si="13"/>
        <v>4.4504383007417436</v>
      </c>
      <c r="G103" s="185">
        <f t="shared" si="15"/>
        <v>101.16883116883115</v>
      </c>
      <c r="H103" s="174">
        <f t="shared" si="18"/>
        <v>1.2514986627317166</v>
      </c>
    </row>
    <row r="104" spans="1:8" ht="16.5" customHeight="1">
      <c r="A104" s="163" t="s">
        <v>209</v>
      </c>
      <c r="B104" s="177">
        <f>[2]cárter!$B215</f>
        <v>15.49</v>
      </c>
      <c r="C104" s="165">
        <f t="shared" si="0"/>
        <v>326.79324894514764</v>
      </c>
      <c r="D104" s="183">
        <f t="shared" si="11"/>
        <v>0</v>
      </c>
      <c r="E104" s="183">
        <f t="shared" si="17"/>
        <v>2.9724596391262903</v>
      </c>
      <c r="F104" s="184">
        <f t="shared" si="13"/>
        <v>4.8747461069736042</v>
      </c>
      <c r="G104" s="185">
        <f t="shared" si="15"/>
        <v>98.589743589743591</v>
      </c>
      <c r="H104" s="174">
        <f t="shared" si="18"/>
        <v>1.2514986627317166</v>
      </c>
    </row>
    <row r="105" spans="1:8" ht="16.5" customHeight="1">
      <c r="A105" s="163" t="s">
        <v>210</v>
      </c>
      <c r="B105" s="177">
        <f>[2]cárter!$B216</f>
        <v>15.49</v>
      </c>
      <c r="C105" s="165">
        <f t="shared" si="0"/>
        <v>326.79324894514764</v>
      </c>
      <c r="D105" s="183">
        <f t="shared" si="11"/>
        <v>0</v>
      </c>
      <c r="E105" s="183">
        <f t="shared" si="17"/>
        <v>2.9724596391262903</v>
      </c>
      <c r="F105" s="184">
        <f t="shared" si="13"/>
        <v>4.8747461069736042</v>
      </c>
      <c r="G105" s="185">
        <f t="shared" si="15"/>
        <v>96.854646544876871</v>
      </c>
      <c r="H105" s="174">
        <f t="shared" si="18"/>
        <v>1.2514986627317166</v>
      </c>
    </row>
    <row r="106" spans="1:8" ht="16.5" customHeight="1">
      <c r="A106" s="163" t="s">
        <v>211</v>
      </c>
      <c r="B106" s="177">
        <f>[2]cárter!$B217</f>
        <v>15.49</v>
      </c>
      <c r="C106" s="165">
        <f t="shared" si="0"/>
        <v>326.79324894514764</v>
      </c>
      <c r="D106" s="183">
        <f t="shared" si="11"/>
        <v>0</v>
      </c>
      <c r="E106" s="183">
        <f t="shared" si="17"/>
        <v>2.9724596391262903</v>
      </c>
      <c r="F106" s="184">
        <f t="shared" si="13"/>
        <v>2.9724596391262903</v>
      </c>
      <c r="G106" s="185">
        <f t="shared" si="15"/>
        <v>94.308114464915718</v>
      </c>
      <c r="H106" s="174">
        <f t="shared" si="18"/>
        <v>1.2514986627317166</v>
      </c>
    </row>
    <row r="107" spans="1:8" ht="16.5" customHeight="1">
      <c r="A107" s="163" t="s">
        <v>212</v>
      </c>
      <c r="B107" s="177">
        <f>[2]cárter!$B218</f>
        <v>15.7</v>
      </c>
      <c r="C107" s="165">
        <f t="shared" ref="C107:C131" si="19">100*B107/B$8</f>
        <v>331.22362869198309</v>
      </c>
      <c r="D107" s="183">
        <f t="shared" si="11"/>
        <v>1.355713363460298</v>
      </c>
      <c r="E107" s="183">
        <f t="shared" ref="E107:E118" si="20">100*(B107/B$106-1)</f>
        <v>1.355713363460298</v>
      </c>
      <c r="F107" s="184">
        <f t="shared" si="13"/>
        <v>4.3684710351376888</v>
      </c>
      <c r="G107" s="185">
        <f t="shared" si="15"/>
        <v>93.145191053809981</v>
      </c>
      <c r="H107" s="174">
        <f t="shared" si="18"/>
        <v>1.2347588717015472</v>
      </c>
    </row>
    <row r="108" spans="1:8" ht="16.5" customHeight="1">
      <c r="A108" s="163" t="s">
        <v>213</v>
      </c>
      <c r="B108" s="177">
        <f>[2]cárter!$B219</f>
        <v>15.7</v>
      </c>
      <c r="C108" s="165">
        <f t="shared" si="19"/>
        <v>331.22362869198309</v>
      </c>
      <c r="D108" s="183">
        <f t="shared" si="11"/>
        <v>0</v>
      </c>
      <c r="E108" s="183">
        <f t="shared" si="20"/>
        <v>1.355713363460298</v>
      </c>
      <c r="F108" s="184">
        <f t="shared" si="13"/>
        <v>4.3684710351376888</v>
      </c>
      <c r="G108" s="185">
        <f t="shared" si="15"/>
        <v>-1.8750000000000044</v>
      </c>
      <c r="H108" s="174">
        <f t="shared" si="18"/>
        <v>1.2347588717015472</v>
      </c>
    </row>
    <row r="109" spans="1:8" ht="16.5" customHeight="1">
      <c r="A109" s="163" t="s">
        <v>214</v>
      </c>
      <c r="B109" s="177">
        <f>[2]cárter!$B220</f>
        <v>15.77</v>
      </c>
      <c r="C109" s="165">
        <f t="shared" si="19"/>
        <v>332.70042194092827</v>
      </c>
      <c r="D109" s="183">
        <f t="shared" si="11"/>
        <v>0.44585987261147597</v>
      </c>
      <c r="E109" s="183">
        <f t="shared" si="20"/>
        <v>1.8076178179470492</v>
      </c>
      <c r="F109" s="184">
        <f t="shared" si="13"/>
        <v>4.8338081671414956</v>
      </c>
      <c r="G109" s="185">
        <f t="shared" si="15"/>
        <v>16.814814814814817</v>
      </c>
      <c r="H109" s="174">
        <f t="shared" si="18"/>
        <v>1.229278014312891</v>
      </c>
    </row>
    <row r="110" spans="1:8" ht="16.5" customHeight="1">
      <c r="A110" s="163" t="s">
        <v>215</v>
      </c>
      <c r="B110" s="177">
        <f>[2]cárter!$B221</f>
        <v>15.77</v>
      </c>
      <c r="C110" s="165">
        <f t="shared" si="19"/>
        <v>332.70042194092827</v>
      </c>
      <c r="D110" s="183">
        <f t="shared" si="11"/>
        <v>0</v>
      </c>
      <c r="E110" s="183">
        <f t="shared" si="20"/>
        <v>1.8076178179470492</v>
      </c>
      <c r="F110" s="184">
        <f t="shared" si="13"/>
        <v>4.2300066093853284</v>
      </c>
      <c r="G110" s="185">
        <f t="shared" si="15"/>
        <v>16.814814814814817</v>
      </c>
      <c r="H110" s="174">
        <f t="shared" si="18"/>
        <v>1.229278014312891</v>
      </c>
    </row>
    <row r="111" spans="1:8" ht="16.5" customHeight="1">
      <c r="A111" s="163" t="s">
        <v>216</v>
      </c>
      <c r="B111" s="177">
        <f>[2]cárter!$B222</f>
        <v>15.957142857142859</v>
      </c>
      <c r="C111" s="165">
        <f t="shared" si="19"/>
        <v>336.64858348402657</v>
      </c>
      <c r="D111" s="183">
        <f t="shared" si="11"/>
        <v>1.1867016939940411</v>
      </c>
      <c r="E111" s="183">
        <f t="shared" si="20"/>
        <v>3.0157705432076076</v>
      </c>
      <c r="F111" s="184">
        <f t="shared" si="13"/>
        <v>5.4669058634689849</v>
      </c>
      <c r="G111" s="185">
        <f t="shared" si="15"/>
        <v>18.201058201058217</v>
      </c>
      <c r="H111" s="174">
        <f t="shared" si="18"/>
        <v>1.214861235452104</v>
      </c>
    </row>
    <row r="112" spans="1:8" ht="16.5" customHeight="1">
      <c r="A112" s="163" t="s">
        <v>217</v>
      </c>
      <c r="B112" s="177">
        <f>[2]cárter!$B223</f>
        <v>15.957142857142859</v>
      </c>
      <c r="C112" s="165">
        <f t="shared" si="19"/>
        <v>336.64858348402657</v>
      </c>
      <c r="D112" s="183">
        <f t="shared" si="11"/>
        <v>0</v>
      </c>
      <c r="E112" s="183">
        <f t="shared" si="20"/>
        <v>3.0157705432076076</v>
      </c>
      <c r="F112" s="184">
        <f t="shared" si="13"/>
        <v>5.4669058634689849</v>
      </c>
      <c r="G112" s="185">
        <f t="shared" si="15"/>
        <v>18.201058201058217</v>
      </c>
      <c r="H112" s="174">
        <f t="shared" si="18"/>
        <v>1.214861235452104</v>
      </c>
    </row>
    <row r="113" spans="1:8" ht="16.5" customHeight="1">
      <c r="A113" s="163" t="s">
        <v>218</v>
      </c>
      <c r="B113" s="177">
        <f>[2]cárter!$B224</f>
        <v>15.957142857142859</v>
      </c>
      <c r="C113" s="165">
        <f t="shared" si="19"/>
        <v>336.64858348402657</v>
      </c>
      <c r="D113" s="183">
        <f t="shared" si="11"/>
        <v>0</v>
      </c>
      <c r="E113" s="183">
        <f t="shared" si="20"/>
        <v>3.0157705432076076</v>
      </c>
      <c r="F113" s="184">
        <f t="shared" si="13"/>
        <v>0.1703883059815503</v>
      </c>
      <c r="G113" s="185">
        <f t="shared" si="15"/>
        <v>7.6004238512667577</v>
      </c>
      <c r="H113" s="174">
        <f t="shared" si="18"/>
        <v>1.214861235452104</v>
      </c>
    </row>
    <row r="114" spans="1:8" ht="16.5" customHeight="1">
      <c r="A114" s="163" t="s">
        <v>219</v>
      </c>
      <c r="B114" s="177">
        <f>[2]cárter!$B225</f>
        <v>15.957142857142859</v>
      </c>
      <c r="C114" s="165">
        <f t="shared" si="19"/>
        <v>336.64858348402657</v>
      </c>
      <c r="D114" s="183">
        <f t="shared" si="11"/>
        <v>0</v>
      </c>
      <c r="E114" s="183">
        <f t="shared" si="20"/>
        <v>3.0157705432076076</v>
      </c>
      <c r="F114" s="184">
        <f t="shared" si="13"/>
        <v>3.0157705432076076</v>
      </c>
      <c r="G114" s="185">
        <f t="shared" si="15"/>
        <v>7.6004238512667577</v>
      </c>
      <c r="H114" s="174">
        <f t="shared" si="18"/>
        <v>1.214861235452104</v>
      </c>
    </row>
    <row r="115" spans="1:8" ht="16.5" customHeight="1">
      <c r="A115" s="163" t="s">
        <v>220</v>
      </c>
      <c r="B115" s="177">
        <f>[2]cárter!$B226</f>
        <v>15.957142857142859</v>
      </c>
      <c r="C115" s="165">
        <f t="shared" si="19"/>
        <v>336.64858348402657</v>
      </c>
      <c r="D115" s="183">
        <f t="shared" si="11"/>
        <v>0</v>
      </c>
      <c r="E115" s="183">
        <f t="shared" si="20"/>
        <v>3.0157705432076076</v>
      </c>
      <c r="F115" s="184">
        <f t="shared" si="13"/>
        <v>3.0157705432076076</v>
      </c>
      <c r="G115" s="185">
        <f t="shared" si="15"/>
        <v>7.6004238512667577</v>
      </c>
      <c r="H115" s="174">
        <f t="shared" si="18"/>
        <v>1.214861235452104</v>
      </c>
    </row>
    <row r="116" spans="1:8" ht="16.5" customHeight="1">
      <c r="A116" s="163" t="s">
        <v>221</v>
      </c>
      <c r="B116" s="177">
        <f>[2]cárter!$B227</f>
        <v>16.3</v>
      </c>
      <c r="C116" s="165">
        <f t="shared" si="19"/>
        <v>343.88185654008436</v>
      </c>
      <c r="D116" s="183">
        <f t="shared" si="11"/>
        <v>2.14861235452104</v>
      </c>
      <c r="E116" s="183">
        <f t="shared" si="20"/>
        <v>5.229180116204013</v>
      </c>
      <c r="F116" s="184">
        <f t="shared" si="13"/>
        <v>5.229180116204013</v>
      </c>
      <c r="G116" s="185">
        <f t="shared" si="15"/>
        <v>10.358835477318905</v>
      </c>
      <c r="H116" s="174">
        <f t="shared" si="18"/>
        <v>1.1893076248904471</v>
      </c>
    </row>
    <row r="117" spans="1:8" ht="16.5" customHeight="1">
      <c r="A117" s="163" t="s">
        <v>222</v>
      </c>
      <c r="B117" s="177">
        <f>[2]cárter!$B228</f>
        <v>16.3</v>
      </c>
      <c r="C117" s="165">
        <f t="shared" si="19"/>
        <v>343.88185654008436</v>
      </c>
      <c r="D117" s="183">
        <f t="shared" si="11"/>
        <v>0</v>
      </c>
      <c r="E117" s="183">
        <f t="shared" si="20"/>
        <v>5.229180116204013</v>
      </c>
      <c r="F117" s="184">
        <f t="shared" si="13"/>
        <v>5.229180116204013</v>
      </c>
      <c r="G117" s="185">
        <f t="shared" si="15"/>
        <v>10.358835477318905</v>
      </c>
      <c r="H117" s="174">
        <f t="shared" si="18"/>
        <v>1.1893076248904471</v>
      </c>
    </row>
    <row r="118" spans="1:8" ht="16.5" customHeight="1">
      <c r="A118" s="163" t="s">
        <v>223</v>
      </c>
      <c r="B118" s="177">
        <f>[2]cárter!$B229</f>
        <v>16.3</v>
      </c>
      <c r="C118" s="165">
        <f t="shared" si="19"/>
        <v>343.88185654008436</v>
      </c>
      <c r="D118" s="183">
        <f t="shared" ref="D118:D131" si="21">100*(B118/B117-1)</f>
        <v>0</v>
      </c>
      <c r="E118" s="183">
        <f t="shared" si="20"/>
        <v>5.229180116204013</v>
      </c>
      <c r="F118" s="184">
        <f t="shared" si="13"/>
        <v>5.229180116204013</v>
      </c>
      <c r="G118" s="185">
        <f t="shared" si="15"/>
        <v>8.3570750237416789</v>
      </c>
      <c r="H118" s="174">
        <f t="shared" si="18"/>
        <v>1.1893076248904471</v>
      </c>
    </row>
    <row r="119" spans="1:8" ht="16.5" customHeight="1">
      <c r="A119" s="163" t="s">
        <v>224</v>
      </c>
      <c r="B119" s="177">
        <f>[2]cárter!$B230</f>
        <v>16.3</v>
      </c>
      <c r="C119" s="165">
        <f t="shared" si="19"/>
        <v>343.88185654008436</v>
      </c>
      <c r="D119" s="183">
        <f t="shared" si="21"/>
        <v>0</v>
      </c>
      <c r="E119" s="183">
        <f t="shared" ref="E119:E130" si="22">100*(B119/B$118-1)</f>
        <v>0</v>
      </c>
      <c r="F119" s="184">
        <f t="shared" si="13"/>
        <v>3.8216560509554132</v>
      </c>
      <c r="G119" s="185">
        <f t="shared" si="15"/>
        <v>8.3570750237416789</v>
      </c>
      <c r="H119" s="174">
        <f t="shared" si="18"/>
        <v>1.1893076248904471</v>
      </c>
    </row>
    <row r="120" spans="1:8" ht="16.5" customHeight="1">
      <c r="A120" s="163" t="s">
        <v>225</v>
      </c>
      <c r="B120" s="177">
        <f>[2]cárter!$B231</f>
        <v>16.3</v>
      </c>
      <c r="C120" s="165">
        <f t="shared" si="19"/>
        <v>343.88185654008436</v>
      </c>
      <c r="D120" s="183">
        <f t="shared" si="21"/>
        <v>0</v>
      </c>
      <c r="E120" s="183">
        <f t="shared" si="22"/>
        <v>0</v>
      </c>
      <c r="F120" s="184">
        <f t="shared" si="13"/>
        <v>3.8216560509554132</v>
      </c>
      <c r="G120" s="185">
        <f t="shared" si="15"/>
        <v>8.3570750237416789</v>
      </c>
      <c r="H120" s="174">
        <f t="shared" si="18"/>
        <v>1.1893076248904471</v>
      </c>
    </row>
    <row r="121" spans="1:8" ht="16.5" customHeight="1">
      <c r="A121" s="163" t="s">
        <v>226</v>
      </c>
      <c r="B121" s="177">
        <f>[2]cárter!$B232</f>
        <v>16.3</v>
      </c>
      <c r="C121" s="165">
        <f t="shared" si="19"/>
        <v>343.88185654008436</v>
      </c>
      <c r="D121" s="183">
        <f t="shared" si="21"/>
        <v>0</v>
      </c>
      <c r="E121" s="183">
        <f t="shared" si="22"/>
        <v>0</v>
      </c>
      <c r="F121" s="184">
        <f t="shared" si="13"/>
        <v>3.3608116677235289</v>
      </c>
      <c r="G121" s="185">
        <f t="shared" si="15"/>
        <v>8.3570750237416789</v>
      </c>
      <c r="H121" s="174">
        <f t="shared" si="18"/>
        <v>1.1893076248904471</v>
      </c>
    </row>
    <row r="122" spans="1:8" ht="16.5" customHeight="1">
      <c r="A122" s="163" t="s">
        <v>227</v>
      </c>
      <c r="B122" s="177">
        <f>[2]cárter!$B233</f>
        <v>16.3</v>
      </c>
      <c r="C122" s="165">
        <f t="shared" si="19"/>
        <v>343.88185654008436</v>
      </c>
      <c r="D122" s="183">
        <f t="shared" si="21"/>
        <v>0</v>
      </c>
      <c r="E122" s="183">
        <f t="shared" si="22"/>
        <v>0</v>
      </c>
      <c r="F122" s="184">
        <f t="shared" si="13"/>
        <v>3.3608116677235289</v>
      </c>
      <c r="G122" s="185">
        <f t="shared" si="15"/>
        <v>7.7329808327825544</v>
      </c>
      <c r="H122" s="174">
        <f t="shared" si="18"/>
        <v>1.1893076248904471</v>
      </c>
    </row>
    <row r="123" spans="1:8" ht="16.5" customHeight="1">
      <c r="A123" s="163" t="s">
        <v>228</v>
      </c>
      <c r="B123" s="177">
        <f>[2]cárter!$B234</f>
        <v>16.328571428571429</v>
      </c>
      <c r="C123" s="165">
        <f t="shared" si="19"/>
        <v>344.48462929475585</v>
      </c>
      <c r="D123" s="183">
        <f t="shared" si="21"/>
        <v>0.17528483786153348</v>
      </c>
      <c r="E123" s="183">
        <f t="shared" si="22"/>
        <v>0.17528483786153348</v>
      </c>
      <c r="F123" s="184">
        <f t="shared" si="13"/>
        <v>2.3276633840644489</v>
      </c>
      <c r="G123" s="185">
        <f t="shared" si="15"/>
        <v>7.9218204135586889</v>
      </c>
      <c r="H123" s="174">
        <f t="shared" si="18"/>
        <v>1.1872265966754159</v>
      </c>
    </row>
    <row r="124" spans="1:8" ht="16.5" customHeight="1">
      <c r="A124" s="163" t="s">
        <v>229</v>
      </c>
      <c r="B124" s="177">
        <f>[2]cárter!$B235</f>
        <v>16.328571428571429</v>
      </c>
      <c r="C124" s="165">
        <f t="shared" si="19"/>
        <v>344.48462929475585</v>
      </c>
      <c r="D124" s="183">
        <f t="shared" si="21"/>
        <v>0</v>
      </c>
      <c r="E124" s="183">
        <f t="shared" si="22"/>
        <v>0.17528483786153348</v>
      </c>
      <c r="F124" s="184">
        <f t="shared" si="13"/>
        <v>2.3276633840644489</v>
      </c>
      <c r="G124" s="185">
        <f t="shared" si="15"/>
        <v>7.9218204135586889</v>
      </c>
      <c r="H124" s="174">
        <f t="shared" si="18"/>
        <v>1.1872265966754159</v>
      </c>
    </row>
    <row r="125" spans="1:8" ht="16.5" customHeight="1">
      <c r="A125" s="163" t="s">
        <v>230</v>
      </c>
      <c r="B125" s="177">
        <f>[2]cárter!$B236</f>
        <v>16.442857142857143</v>
      </c>
      <c r="C125" s="165">
        <f t="shared" si="19"/>
        <v>346.89572031344181</v>
      </c>
      <c r="D125" s="183">
        <f t="shared" si="21"/>
        <v>0.69991251093612927</v>
      </c>
      <c r="E125" s="183">
        <f t="shared" si="22"/>
        <v>0.876424189307623</v>
      </c>
      <c r="F125" s="184">
        <f t="shared" si="13"/>
        <v>3.043867502238129</v>
      </c>
      <c r="G125" s="185">
        <f t="shared" si="15"/>
        <v>3.2194422024930613</v>
      </c>
      <c r="H125" s="174">
        <f t="shared" si="18"/>
        <v>1.1789748045178108</v>
      </c>
    </row>
    <row r="126" spans="1:8" ht="16.5" customHeight="1">
      <c r="A126" s="163" t="s">
        <v>231</v>
      </c>
      <c r="B126" s="177">
        <f>[2]cárter!$B237</f>
        <v>16.442857142857143</v>
      </c>
      <c r="C126" s="165">
        <f t="shared" si="19"/>
        <v>346.89572031344181</v>
      </c>
      <c r="D126" s="183">
        <f t="shared" si="21"/>
        <v>0</v>
      </c>
      <c r="E126" s="183">
        <f t="shared" si="22"/>
        <v>0.876424189307623</v>
      </c>
      <c r="F126" s="184">
        <f t="shared" si="13"/>
        <v>3.043867502238129</v>
      </c>
      <c r="G126" s="185">
        <f t="shared" si="15"/>
        <v>6.1514341049525134</v>
      </c>
      <c r="H126" s="174">
        <f t="shared" si="18"/>
        <v>1.1789748045178108</v>
      </c>
    </row>
    <row r="127" spans="1:8" ht="16.5" customHeight="1">
      <c r="A127" s="163" t="s">
        <v>232</v>
      </c>
      <c r="B127" s="177">
        <f>[2]cárter!$B238</f>
        <v>16.442857142857143</v>
      </c>
      <c r="C127" s="165">
        <f t="shared" si="19"/>
        <v>346.89572031344181</v>
      </c>
      <c r="D127" s="183">
        <f t="shared" si="21"/>
        <v>0</v>
      </c>
      <c r="E127" s="183">
        <f t="shared" si="22"/>
        <v>0.876424189307623</v>
      </c>
      <c r="F127" s="184">
        <f t="shared" si="13"/>
        <v>3.043867502238129</v>
      </c>
      <c r="G127" s="185">
        <f t="shared" si="15"/>
        <v>6.1514341049525134</v>
      </c>
      <c r="H127" s="174">
        <f t="shared" si="18"/>
        <v>1.1789748045178108</v>
      </c>
    </row>
    <row r="128" spans="1:8" ht="16.5" customHeight="1">
      <c r="A128" s="163" t="s">
        <v>233</v>
      </c>
      <c r="B128" s="177">
        <f>[2]cárter!$B239</f>
        <v>16.442857142857143</v>
      </c>
      <c r="C128" s="165">
        <f t="shared" si="19"/>
        <v>346.89572031344181</v>
      </c>
      <c r="D128" s="183">
        <f t="shared" si="21"/>
        <v>0</v>
      </c>
      <c r="E128" s="183">
        <f t="shared" si="22"/>
        <v>0.876424189307623</v>
      </c>
      <c r="F128" s="184">
        <f t="shared" si="13"/>
        <v>0.876424189307623</v>
      </c>
      <c r="G128" s="185">
        <f t="shared" si="15"/>
        <v>6.1514341049525134</v>
      </c>
      <c r="H128" s="174">
        <f t="shared" si="18"/>
        <v>1.1789748045178108</v>
      </c>
    </row>
    <row r="129" spans="1:8" ht="16.5" customHeight="1">
      <c r="A129" s="163" t="s">
        <v>234</v>
      </c>
      <c r="B129" s="177">
        <f>[2]cárter!$B240</f>
        <v>16.442857142857143</v>
      </c>
      <c r="C129" s="165">
        <f t="shared" si="19"/>
        <v>346.89572031344181</v>
      </c>
      <c r="D129" s="183">
        <f t="shared" si="21"/>
        <v>0</v>
      </c>
      <c r="E129" s="183">
        <f t="shared" si="22"/>
        <v>0.876424189307623</v>
      </c>
      <c r="F129" s="184">
        <f t="shared" ref="F129:F134" si="23">(100*(B129/B117-1))</f>
        <v>0.876424189307623</v>
      </c>
      <c r="G129" s="185">
        <f t="shared" si="15"/>
        <v>6.1514341049525134</v>
      </c>
      <c r="H129" s="174">
        <f t="shared" si="18"/>
        <v>1.1789748045178108</v>
      </c>
    </row>
    <row r="130" spans="1:8" ht="16.5" customHeight="1">
      <c r="A130" s="163" t="s">
        <v>235</v>
      </c>
      <c r="B130" s="177">
        <f>[2]cárter!$B241</f>
        <v>16.585714285714285</v>
      </c>
      <c r="C130" s="165">
        <f t="shared" si="19"/>
        <v>349.90958408679921</v>
      </c>
      <c r="D130" s="183">
        <f t="shared" si="21"/>
        <v>0.86880973066898459</v>
      </c>
      <c r="E130" s="183">
        <f t="shared" si="22"/>
        <v>1.752848378615246</v>
      </c>
      <c r="F130" s="184">
        <f t="shared" si="23"/>
        <v>1.752848378615246</v>
      </c>
      <c r="G130" s="185">
        <f t="shared" si="15"/>
        <v>7.0736880937009916</v>
      </c>
      <c r="H130" s="174">
        <f t="shared" si="18"/>
        <v>1.1688199827734713</v>
      </c>
    </row>
    <row r="131" spans="1:8" ht="16.5" customHeight="1">
      <c r="A131" s="163" t="s">
        <v>236</v>
      </c>
      <c r="B131" s="177">
        <f>[2]cárter!$B242</f>
        <v>16.585714285714285</v>
      </c>
      <c r="C131" s="165">
        <f t="shared" si="19"/>
        <v>349.90958408679921</v>
      </c>
      <c r="D131" s="183">
        <f t="shared" si="21"/>
        <v>0</v>
      </c>
      <c r="E131" s="183">
        <f t="shared" ref="E131:E136" si="24">100*(B131/B$130-1)</f>
        <v>0</v>
      </c>
      <c r="F131" s="184">
        <f t="shared" si="23"/>
        <v>1.752848378615246</v>
      </c>
      <c r="G131" s="185">
        <f t="shared" ref="G131:G136" si="25">100*(B131/B107-1)</f>
        <v>5.6414922656960798</v>
      </c>
      <c r="H131" s="174">
        <f t="shared" si="18"/>
        <v>1.1688199827734713</v>
      </c>
    </row>
    <row r="132" spans="1:8" ht="16.5" customHeight="1">
      <c r="A132" s="163" t="s">
        <v>237</v>
      </c>
      <c r="B132" s="177">
        <f>[2]cárter!$B243</f>
        <v>16.585714285714285</v>
      </c>
      <c r="C132" s="165">
        <f t="shared" ref="C132:C137" si="26">100*B132/B$8</f>
        <v>349.90958408679921</v>
      </c>
      <c r="D132" s="183">
        <f t="shared" ref="D132:D137" si="27">100*(B132/B131-1)</f>
        <v>0</v>
      </c>
      <c r="E132" s="183">
        <f t="shared" si="24"/>
        <v>0</v>
      </c>
      <c r="F132" s="184">
        <f t="shared" si="23"/>
        <v>1.752848378615246</v>
      </c>
      <c r="G132" s="185">
        <f t="shared" si="25"/>
        <v>5.6414922656960798</v>
      </c>
      <c r="H132" s="174">
        <f t="shared" si="18"/>
        <v>1.1688199827734713</v>
      </c>
    </row>
    <row r="133" spans="1:8" ht="16.5" customHeight="1">
      <c r="A133" s="163" t="s">
        <v>238</v>
      </c>
      <c r="B133" s="177">
        <f>[2]cárter!$B244</f>
        <v>16.585714285714285</v>
      </c>
      <c r="C133" s="165">
        <f t="shared" si="26"/>
        <v>349.90958408679921</v>
      </c>
      <c r="D133" s="183">
        <f t="shared" si="27"/>
        <v>0</v>
      </c>
      <c r="E133" s="183">
        <f t="shared" si="24"/>
        <v>0</v>
      </c>
      <c r="F133" s="184">
        <f t="shared" si="23"/>
        <v>1.752848378615246</v>
      </c>
      <c r="G133" s="185">
        <f t="shared" si="25"/>
        <v>5.1725699791647761</v>
      </c>
      <c r="H133" s="174">
        <f t="shared" si="18"/>
        <v>1.1688199827734713</v>
      </c>
    </row>
    <row r="134" spans="1:8" ht="16.5" customHeight="1">
      <c r="A134" s="163" t="s">
        <v>239</v>
      </c>
      <c r="B134" s="180">
        <f>[2]cárter!$B245</f>
        <v>16.585714285714285</v>
      </c>
      <c r="C134" s="165">
        <f t="shared" si="26"/>
        <v>349.90958408679921</v>
      </c>
      <c r="D134" s="183">
        <f t="shared" si="27"/>
        <v>0</v>
      </c>
      <c r="E134" s="183">
        <f t="shared" si="24"/>
        <v>0</v>
      </c>
      <c r="F134" s="184">
        <f t="shared" si="23"/>
        <v>1.752848378615246</v>
      </c>
      <c r="G134" s="185">
        <f t="shared" si="25"/>
        <v>5.1725699791647761</v>
      </c>
      <c r="H134" s="174">
        <f t="shared" si="18"/>
        <v>1.1688199827734713</v>
      </c>
    </row>
    <row r="135" spans="1:8" ht="16.5" customHeight="1">
      <c r="A135" s="163" t="s">
        <v>240</v>
      </c>
      <c r="B135" s="180">
        <f>[2]cárter!$B246</f>
        <v>16.585714285714285</v>
      </c>
      <c r="C135" s="165">
        <f t="shared" si="26"/>
        <v>349.90958408679921</v>
      </c>
      <c r="D135" s="183">
        <f t="shared" si="27"/>
        <v>0</v>
      </c>
      <c r="E135" s="183">
        <f t="shared" si="24"/>
        <v>0</v>
      </c>
      <c r="F135" s="184">
        <f t="shared" ref="F135:F140" si="28">(100*(B135/B123-1))</f>
        <v>1.5748031496062964</v>
      </c>
      <c r="G135" s="185">
        <f t="shared" si="25"/>
        <v>3.9391226499552179</v>
      </c>
      <c r="H135" s="174">
        <f t="shared" si="18"/>
        <v>1.1688199827734713</v>
      </c>
    </row>
    <row r="136" spans="1:8" ht="16.5" customHeight="1">
      <c r="A136" s="163" t="s">
        <v>241</v>
      </c>
      <c r="B136" s="180">
        <f>[2]cárter!$B247</f>
        <v>16.585714285714285</v>
      </c>
      <c r="C136" s="165">
        <f t="shared" si="26"/>
        <v>349.90958408679921</v>
      </c>
      <c r="D136" s="183">
        <f t="shared" si="27"/>
        <v>0</v>
      </c>
      <c r="E136" s="183">
        <f t="shared" si="24"/>
        <v>0</v>
      </c>
      <c r="F136" s="184">
        <f t="shared" si="28"/>
        <v>1.5748031496062964</v>
      </c>
      <c r="G136" s="185">
        <f t="shared" si="25"/>
        <v>3.9391226499552179</v>
      </c>
      <c r="H136" s="174">
        <f t="shared" si="18"/>
        <v>1.1688199827734713</v>
      </c>
    </row>
    <row r="137" spans="1:8" ht="16.5" customHeight="1">
      <c r="A137" s="163" t="s">
        <v>242</v>
      </c>
      <c r="B137" s="180">
        <f>[2]cárter!$B248</f>
        <v>16.585714285714285</v>
      </c>
      <c r="C137" s="165">
        <f t="shared" si="26"/>
        <v>349.90958408679921</v>
      </c>
      <c r="D137" s="183">
        <f t="shared" si="27"/>
        <v>0</v>
      </c>
      <c r="E137" s="183">
        <f t="shared" ref="E137:E142" si="29">100*(B137/B$130-1)</f>
        <v>0</v>
      </c>
      <c r="F137" s="184">
        <f t="shared" si="28"/>
        <v>0.86880973066898459</v>
      </c>
      <c r="G137" s="185">
        <f t="shared" ref="G137:G142" si="30">100*(B137/B113-1)</f>
        <v>3.9391226499552179</v>
      </c>
      <c r="H137" s="174">
        <f t="shared" si="18"/>
        <v>1.1688199827734713</v>
      </c>
    </row>
    <row r="138" spans="1:8" ht="16.5" customHeight="1">
      <c r="A138" s="163" t="s">
        <v>243</v>
      </c>
      <c r="B138" s="180">
        <f>[2]cárter!$B249</f>
        <v>16.585714285714285</v>
      </c>
      <c r="C138" s="165">
        <f t="shared" ref="C138:C143" si="31">100*B138/B$8</f>
        <v>349.90958408679921</v>
      </c>
      <c r="D138" s="183">
        <f t="shared" ref="D138:D143" si="32">100*(B138/B137-1)</f>
        <v>0</v>
      </c>
      <c r="E138" s="183">
        <f t="shared" si="29"/>
        <v>0</v>
      </c>
      <c r="F138" s="184">
        <f t="shared" si="28"/>
        <v>0.86880973066898459</v>
      </c>
      <c r="G138" s="185">
        <f t="shared" si="30"/>
        <v>3.9391226499552179</v>
      </c>
      <c r="H138" s="174">
        <f t="shared" si="18"/>
        <v>1.1688199827734713</v>
      </c>
    </row>
    <row r="139" spans="1:8" ht="16.5" customHeight="1">
      <c r="A139" s="163" t="s">
        <v>244</v>
      </c>
      <c r="B139" s="180">
        <f>[2]cárter!$B250</f>
        <v>16.585714285714285</v>
      </c>
      <c r="C139" s="165">
        <f t="shared" si="31"/>
        <v>349.90958408679921</v>
      </c>
      <c r="D139" s="183">
        <f t="shared" si="32"/>
        <v>0</v>
      </c>
      <c r="E139" s="183">
        <f t="shared" si="29"/>
        <v>0</v>
      </c>
      <c r="F139" s="184">
        <f t="shared" si="28"/>
        <v>0.86880973066898459</v>
      </c>
      <c r="G139" s="185">
        <f t="shared" si="30"/>
        <v>3.9391226499552179</v>
      </c>
      <c r="H139" s="174">
        <f t="shared" si="18"/>
        <v>1.1688199827734713</v>
      </c>
    </row>
    <row r="140" spans="1:8" ht="16.5" customHeight="1">
      <c r="A140" s="163" t="s">
        <v>245</v>
      </c>
      <c r="B140" s="180">
        <f>[2]cárter!$B251</f>
        <v>16.585714285714285</v>
      </c>
      <c r="C140" s="165">
        <f t="shared" si="31"/>
        <v>349.90958408679921</v>
      </c>
      <c r="D140" s="183">
        <f t="shared" si="32"/>
        <v>0</v>
      </c>
      <c r="E140" s="183">
        <f t="shared" si="29"/>
        <v>0</v>
      </c>
      <c r="F140" s="184">
        <f t="shared" si="28"/>
        <v>0.86880973066898459</v>
      </c>
      <c r="G140" s="185">
        <f t="shared" si="30"/>
        <v>1.752848378615246</v>
      </c>
      <c r="H140" s="174">
        <f t="shared" si="18"/>
        <v>1.1688199827734713</v>
      </c>
    </row>
    <row r="141" spans="1:8" ht="16.5" customHeight="1">
      <c r="A141" s="163" t="s">
        <v>246</v>
      </c>
      <c r="B141" s="180">
        <f>[2]cárter!$B252</f>
        <v>16.585714285714285</v>
      </c>
      <c r="C141" s="165">
        <f t="shared" si="31"/>
        <v>349.90958408679921</v>
      </c>
      <c r="D141" s="183">
        <f t="shared" si="32"/>
        <v>0</v>
      </c>
      <c r="E141" s="183">
        <f t="shared" si="29"/>
        <v>0</v>
      </c>
      <c r="F141" s="184">
        <f t="shared" ref="F141:F146" si="33">(100*(B141/B129-1))</f>
        <v>0.86880973066898459</v>
      </c>
      <c r="G141" s="185">
        <f t="shared" si="30"/>
        <v>1.752848378615246</v>
      </c>
      <c r="H141" s="174">
        <f t="shared" si="18"/>
        <v>1.1688199827734713</v>
      </c>
    </row>
    <row r="142" spans="1:8" ht="16.5" customHeight="1">
      <c r="A142" s="163" t="s">
        <v>247</v>
      </c>
      <c r="B142" s="180">
        <f>[2]cárter!$B253</f>
        <v>16.585714285714285</v>
      </c>
      <c r="C142" s="165">
        <f t="shared" si="31"/>
        <v>349.90958408679921</v>
      </c>
      <c r="D142" s="183">
        <f t="shared" si="32"/>
        <v>0</v>
      </c>
      <c r="E142" s="183">
        <f t="shared" si="29"/>
        <v>0</v>
      </c>
      <c r="F142" s="184">
        <f t="shared" si="33"/>
        <v>0</v>
      </c>
      <c r="G142" s="185">
        <f t="shared" si="30"/>
        <v>1.752848378615246</v>
      </c>
      <c r="H142" s="174">
        <f t="shared" si="18"/>
        <v>1.1688199827734713</v>
      </c>
    </row>
    <row r="143" spans="1:8" ht="16.5" customHeight="1">
      <c r="A143" s="163" t="s">
        <v>248</v>
      </c>
      <c r="B143" s="180">
        <f>[2]cárter!$B254</f>
        <v>16.942857142857143</v>
      </c>
      <c r="C143" s="165">
        <f t="shared" si="31"/>
        <v>357.44424352019286</v>
      </c>
      <c r="D143" s="183">
        <f t="shared" si="32"/>
        <v>2.1533161068044926</v>
      </c>
      <c r="E143" s="183">
        <f t="shared" ref="E143:E148" si="34">100*(B143/B$142-1)</f>
        <v>2.1533161068044926</v>
      </c>
      <c r="F143" s="184">
        <f t="shared" si="33"/>
        <v>2.1533161068044926</v>
      </c>
      <c r="G143" s="185">
        <f t="shared" ref="G143:G148" si="35">100*(B143/B119-1)</f>
        <v>3.9439088518843146</v>
      </c>
      <c r="H143" s="174">
        <f t="shared" si="18"/>
        <v>1.1441821247892077</v>
      </c>
    </row>
    <row r="144" spans="1:8" ht="16.5" customHeight="1">
      <c r="A144" s="163" t="s">
        <v>249</v>
      </c>
      <c r="B144" s="180">
        <f>[2]cárter!$B255</f>
        <v>17.057142857142857</v>
      </c>
      <c r="C144" s="165">
        <f t="shared" ref="C144:C150" si="36">100*B144/B$8</f>
        <v>359.85533453887882</v>
      </c>
      <c r="D144" s="183">
        <f t="shared" ref="D144:D149" si="37">100*(B144/B143-1)</f>
        <v>0.67453625632376557</v>
      </c>
      <c r="E144" s="183">
        <f t="shared" si="34"/>
        <v>2.8423772609819098</v>
      </c>
      <c r="F144" s="184">
        <f t="shared" si="33"/>
        <v>2.8423772609819098</v>
      </c>
      <c r="G144" s="185">
        <f t="shared" si="35"/>
        <v>4.6450482033304041</v>
      </c>
      <c r="H144" s="174">
        <f t="shared" si="18"/>
        <v>1.1365159128978226</v>
      </c>
    </row>
    <row r="145" spans="1:8" ht="16.5" customHeight="1">
      <c r="A145" s="163" t="s">
        <v>250</v>
      </c>
      <c r="B145" s="180">
        <f>[2]cárter!$B256</f>
        <v>17.057142857142857</v>
      </c>
      <c r="C145" s="165">
        <f t="shared" si="36"/>
        <v>359.85533453887882</v>
      </c>
      <c r="D145" s="183">
        <f t="shared" si="37"/>
        <v>0</v>
      </c>
      <c r="E145" s="183">
        <f t="shared" si="34"/>
        <v>2.8423772609819098</v>
      </c>
      <c r="F145" s="184">
        <f t="shared" si="33"/>
        <v>2.8423772609819098</v>
      </c>
      <c r="G145" s="185">
        <f t="shared" si="35"/>
        <v>4.6450482033304041</v>
      </c>
      <c r="H145" s="174">
        <f t="shared" si="18"/>
        <v>1.1365159128978226</v>
      </c>
    </row>
    <row r="146" spans="1:8" ht="16.5" customHeight="1">
      <c r="A146" s="163" t="s">
        <v>252</v>
      </c>
      <c r="B146" s="180">
        <f>[2]cárter!$B257</f>
        <v>17.057142857142857</v>
      </c>
      <c r="C146" s="165">
        <f t="shared" si="36"/>
        <v>359.85533453887882</v>
      </c>
      <c r="D146" s="183">
        <f t="shared" si="37"/>
        <v>0</v>
      </c>
      <c r="E146" s="183">
        <f t="shared" si="34"/>
        <v>2.8423772609819098</v>
      </c>
      <c r="F146" s="184">
        <f t="shared" si="33"/>
        <v>2.8423772609819098</v>
      </c>
      <c r="G146" s="185">
        <f t="shared" si="35"/>
        <v>4.6450482033304041</v>
      </c>
      <c r="H146" s="174">
        <f t="shared" si="18"/>
        <v>1.1365159128978226</v>
      </c>
    </row>
    <row r="147" spans="1:8" ht="16.5" customHeight="1">
      <c r="A147" s="163" t="s">
        <v>253</v>
      </c>
      <c r="B147" s="180">
        <f>[2]cárter!$B258</f>
        <v>17.057142857142857</v>
      </c>
      <c r="C147" s="165">
        <f t="shared" si="36"/>
        <v>359.85533453887882</v>
      </c>
      <c r="D147" s="183">
        <f t="shared" si="37"/>
        <v>0</v>
      </c>
      <c r="E147" s="183">
        <f t="shared" si="34"/>
        <v>2.8423772609819098</v>
      </c>
      <c r="F147" s="184">
        <f t="shared" ref="F147:F152" si="38">(100*(B147/B135-1))</f>
        <v>2.8423772609819098</v>
      </c>
      <c r="G147" s="185">
        <f t="shared" si="35"/>
        <v>4.4619422572178324</v>
      </c>
      <c r="H147" s="174">
        <f t="shared" si="18"/>
        <v>1.1365159128978226</v>
      </c>
    </row>
    <row r="148" spans="1:8" ht="16.5" customHeight="1">
      <c r="A148" s="163" t="s">
        <v>254</v>
      </c>
      <c r="B148" s="180">
        <f>[2]cárter!$B259</f>
        <v>17.057142857142857</v>
      </c>
      <c r="C148" s="165">
        <f t="shared" si="36"/>
        <v>359.85533453887882</v>
      </c>
      <c r="D148" s="183">
        <f t="shared" si="37"/>
        <v>0</v>
      </c>
      <c r="E148" s="183">
        <f t="shared" si="34"/>
        <v>2.8423772609819098</v>
      </c>
      <c r="F148" s="184">
        <f t="shared" si="38"/>
        <v>2.8423772609819098</v>
      </c>
      <c r="G148" s="185">
        <f t="shared" si="35"/>
        <v>4.4619422572178324</v>
      </c>
      <c r="H148" s="174">
        <f t="shared" si="18"/>
        <v>1.1365159128978226</v>
      </c>
    </row>
    <row r="149" spans="1:8" ht="16.5" customHeight="1">
      <c r="A149" s="163" t="s">
        <v>255</v>
      </c>
      <c r="B149" s="180">
        <f>[2]cárter!$B260</f>
        <v>17.057142857142857</v>
      </c>
      <c r="C149" s="165">
        <f t="shared" si="36"/>
        <v>359.85533453887882</v>
      </c>
      <c r="D149" s="183">
        <f t="shared" si="37"/>
        <v>0</v>
      </c>
      <c r="E149" s="183">
        <f t="shared" ref="E149:E154" si="39">100*(B149/B$142-1)</f>
        <v>2.8423772609819098</v>
      </c>
      <c r="F149" s="184">
        <f t="shared" si="38"/>
        <v>2.8423772609819098</v>
      </c>
      <c r="G149" s="185">
        <f t="shared" ref="G149:G154" si="40">100*(B149/B125-1)</f>
        <v>3.7358818418766315</v>
      </c>
      <c r="H149" s="174">
        <f t="shared" si="18"/>
        <v>1.1365159128978226</v>
      </c>
    </row>
    <row r="150" spans="1:8" ht="16.5" customHeight="1">
      <c r="A150" s="163" t="str">
        <f>Câmbio!A150</f>
        <v>AGOSTO|15</v>
      </c>
      <c r="B150" s="180">
        <f>[2]cárter!$B261</f>
        <v>17.185714285714283</v>
      </c>
      <c r="C150" s="165">
        <f t="shared" si="36"/>
        <v>362.56781193490048</v>
      </c>
      <c r="D150" s="183">
        <f t="shared" ref="D150:D155" si="41">100*(B150/B149-1)</f>
        <v>0.75376884422109214</v>
      </c>
      <c r="E150" s="183">
        <f t="shared" si="39"/>
        <v>3.6175710594315014</v>
      </c>
      <c r="F150" s="184">
        <f t="shared" si="38"/>
        <v>3.6175710594315014</v>
      </c>
      <c r="G150" s="185">
        <f t="shared" si="40"/>
        <v>4.5178105994786888</v>
      </c>
      <c r="H150" s="174">
        <f t="shared" si="18"/>
        <v>1.1280133000831258</v>
      </c>
    </row>
    <row r="151" spans="1:8" ht="16.5" customHeight="1">
      <c r="A151" s="163" t="str">
        <f>Câmbio!A151</f>
        <v>SETEMBRO|15</v>
      </c>
      <c r="B151" s="180">
        <f>[2]cárter!$B262</f>
        <v>17.185714285714283</v>
      </c>
      <c r="C151" s="165">
        <f t="shared" ref="C151:C157" si="42">100*B151/B$8</f>
        <v>362.56781193490048</v>
      </c>
      <c r="D151" s="183">
        <f t="shared" si="41"/>
        <v>0</v>
      </c>
      <c r="E151" s="183">
        <f t="shared" si="39"/>
        <v>3.6175710594315014</v>
      </c>
      <c r="F151" s="184">
        <f t="shared" si="38"/>
        <v>3.6175710594315014</v>
      </c>
      <c r="G151" s="185">
        <f t="shared" si="40"/>
        <v>4.5178105994786888</v>
      </c>
      <c r="H151" s="174">
        <f t="shared" si="18"/>
        <v>1.1280133000831258</v>
      </c>
    </row>
    <row r="152" spans="1:8" ht="16.5" customHeight="1">
      <c r="A152" s="163" t="str">
        <f>Câmbio!A152</f>
        <v>OUTUBRO|15</v>
      </c>
      <c r="B152" s="180">
        <f>[2]cárter!$B263</f>
        <v>17.185714285714283</v>
      </c>
      <c r="C152" s="165">
        <f t="shared" si="42"/>
        <v>362.56781193490048</v>
      </c>
      <c r="D152" s="183">
        <f t="shared" si="41"/>
        <v>0</v>
      </c>
      <c r="E152" s="183">
        <f t="shared" si="39"/>
        <v>3.6175710594315014</v>
      </c>
      <c r="F152" s="184">
        <f t="shared" si="38"/>
        <v>3.6175710594315014</v>
      </c>
      <c r="G152" s="185">
        <f t="shared" si="40"/>
        <v>4.5178105994786888</v>
      </c>
      <c r="H152" s="174">
        <f t="shared" si="18"/>
        <v>1.1280133000831258</v>
      </c>
    </row>
    <row r="153" spans="1:8" ht="16.5" customHeight="1">
      <c r="A153" s="163" t="str">
        <f>Câmbio!A153</f>
        <v>NOVEMBRO|15</v>
      </c>
      <c r="B153" s="180">
        <f>[2]cárter!$B264</f>
        <v>17.185714285714283</v>
      </c>
      <c r="C153" s="165">
        <f t="shared" si="42"/>
        <v>362.56781193490048</v>
      </c>
      <c r="D153" s="183">
        <f t="shared" si="41"/>
        <v>0</v>
      </c>
      <c r="E153" s="183">
        <f t="shared" si="39"/>
        <v>3.6175710594315014</v>
      </c>
      <c r="F153" s="184">
        <f t="shared" ref="F153:F158" si="43">(100*(B153/B141-1))</f>
        <v>3.6175710594315014</v>
      </c>
      <c r="G153" s="185">
        <f t="shared" si="40"/>
        <v>4.5178105994786888</v>
      </c>
      <c r="H153" s="174">
        <f t="shared" si="18"/>
        <v>1.1280133000831258</v>
      </c>
    </row>
    <row r="154" spans="1:8" ht="16.5" customHeight="1">
      <c r="A154" s="163" t="str">
        <f>Câmbio!A154</f>
        <v>DEZEMBRO|15</v>
      </c>
      <c r="B154" s="180">
        <f>[2]cárter!$B265</f>
        <v>17.185714285714283</v>
      </c>
      <c r="C154" s="165">
        <f t="shared" si="42"/>
        <v>362.56781193490048</v>
      </c>
      <c r="D154" s="183">
        <f t="shared" si="41"/>
        <v>0</v>
      </c>
      <c r="E154" s="183">
        <f t="shared" si="39"/>
        <v>3.6175710594315014</v>
      </c>
      <c r="F154" s="184">
        <f t="shared" si="43"/>
        <v>3.6175710594315014</v>
      </c>
      <c r="G154" s="185">
        <f t="shared" si="40"/>
        <v>3.6175710594315014</v>
      </c>
      <c r="H154" s="174">
        <f t="shared" si="18"/>
        <v>1.1280133000831258</v>
      </c>
    </row>
    <row r="155" spans="1:8" ht="16.5" customHeight="1">
      <c r="A155" s="163" t="str">
        <f>Câmbio!A155</f>
        <v>JANEIRO|16</v>
      </c>
      <c r="B155" s="180">
        <f>[2]cárter!$B266</f>
        <v>17.185714285714283</v>
      </c>
      <c r="C155" s="165">
        <f t="shared" si="42"/>
        <v>362.56781193490048</v>
      </c>
      <c r="D155" s="183">
        <f t="shared" si="41"/>
        <v>0</v>
      </c>
      <c r="E155" s="183">
        <f t="shared" ref="E155:E160" si="44">100*(B155/B$154-1)</f>
        <v>0</v>
      </c>
      <c r="F155" s="184">
        <f t="shared" si="43"/>
        <v>1.4333895446880129</v>
      </c>
      <c r="G155" s="185">
        <f t="shared" ref="G155:G160" si="45">100*(B155/B131-1)</f>
        <v>3.6175710594315014</v>
      </c>
      <c r="H155" s="174">
        <f t="shared" si="18"/>
        <v>1.1280133000831258</v>
      </c>
    </row>
    <row r="156" spans="1:8" ht="16.5" customHeight="1">
      <c r="A156" s="163" t="str">
        <f>Câmbio!A156</f>
        <v>FEVEREIRO|16</v>
      </c>
      <c r="B156" s="180">
        <f>[2]cárter!$B267</f>
        <v>17.185714285714283</v>
      </c>
      <c r="C156" s="165">
        <f t="shared" si="42"/>
        <v>362.56781193490048</v>
      </c>
      <c r="D156" s="183">
        <f t="shared" ref="D156:D161" si="46">100*(B156/B155-1)</f>
        <v>0</v>
      </c>
      <c r="E156" s="183">
        <f t="shared" si="44"/>
        <v>0</v>
      </c>
      <c r="F156" s="184">
        <f t="shared" si="43"/>
        <v>0.75376884422109214</v>
      </c>
      <c r="G156" s="185">
        <f t="shared" si="45"/>
        <v>3.6175710594315014</v>
      </c>
      <c r="H156" s="174">
        <f t="shared" si="18"/>
        <v>1.1280133000831258</v>
      </c>
    </row>
    <row r="157" spans="1:8" ht="16.5" customHeight="1">
      <c r="A157" s="163" t="str">
        <f>Câmbio!A157</f>
        <v>MARÇO|16</v>
      </c>
      <c r="B157" s="180">
        <f>[2]cárter!$B268</f>
        <v>17.185714285714283</v>
      </c>
      <c r="C157" s="165">
        <f t="shared" si="42"/>
        <v>362.56781193490048</v>
      </c>
      <c r="D157" s="183">
        <f t="shared" si="46"/>
        <v>0</v>
      </c>
      <c r="E157" s="183">
        <f t="shared" si="44"/>
        <v>0</v>
      </c>
      <c r="F157" s="184">
        <f t="shared" si="43"/>
        <v>0.75376884422109214</v>
      </c>
      <c r="G157" s="185">
        <f t="shared" si="45"/>
        <v>3.6175710594315014</v>
      </c>
      <c r="H157" s="174">
        <f t="shared" si="18"/>
        <v>1.1280133000831258</v>
      </c>
    </row>
    <row r="158" spans="1:8" ht="16.5" customHeight="1">
      <c r="A158" s="163" t="str">
        <f>Câmbio!A158</f>
        <v>ABRIL|16</v>
      </c>
      <c r="B158" s="180">
        <f>[2]cárter!$B269</f>
        <v>17.442857142857143</v>
      </c>
      <c r="C158" s="165">
        <f t="shared" ref="C158:C164" si="47">100*B158/B$8</f>
        <v>367.9927667269439</v>
      </c>
      <c r="D158" s="183">
        <f t="shared" si="46"/>
        <v>1.4962593516209655</v>
      </c>
      <c r="E158" s="183">
        <f t="shared" si="44"/>
        <v>1.4962593516209655</v>
      </c>
      <c r="F158" s="184">
        <f t="shared" si="43"/>
        <v>2.2613065326633208</v>
      </c>
      <c r="G158" s="185">
        <f t="shared" si="45"/>
        <v>5.1679586563307511</v>
      </c>
      <c r="H158" s="174">
        <f t="shared" si="18"/>
        <v>1.1113841113841116</v>
      </c>
    </row>
    <row r="159" spans="1:8" ht="16.5" customHeight="1">
      <c r="A159" s="163" t="str">
        <f>Câmbio!A159</f>
        <v>MAIO|16</v>
      </c>
      <c r="B159" s="180">
        <f>[2]cárter!$B270</f>
        <v>17.442857142857143</v>
      </c>
      <c r="C159" s="165">
        <f t="shared" si="47"/>
        <v>367.9927667269439</v>
      </c>
      <c r="D159" s="183">
        <f t="shared" si="46"/>
        <v>0</v>
      </c>
      <c r="E159" s="183">
        <f t="shared" si="44"/>
        <v>1.4962593516209655</v>
      </c>
      <c r="F159" s="184">
        <f t="shared" ref="F159:F164" si="48">(100*(B159/B147-1))</f>
        <v>2.2613065326633208</v>
      </c>
      <c r="G159" s="185">
        <f t="shared" si="45"/>
        <v>5.1679586563307511</v>
      </c>
      <c r="H159" s="174">
        <f t="shared" si="18"/>
        <v>1.1113841113841116</v>
      </c>
    </row>
    <row r="160" spans="1:8" ht="16.5" customHeight="1">
      <c r="A160" s="163" t="str">
        <f>Câmbio!A160</f>
        <v>JUNHO|16</v>
      </c>
      <c r="B160" s="180">
        <f>[2]cárter!$B271</f>
        <v>17.442857142857143</v>
      </c>
      <c r="C160" s="165">
        <f t="shared" si="47"/>
        <v>367.9927667269439</v>
      </c>
      <c r="D160" s="183">
        <f t="shared" si="46"/>
        <v>0</v>
      </c>
      <c r="E160" s="183">
        <f t="shared" si="44"/>
        <v>1.4962593516209655</v>
      </c>
      <c r="F160" s="184">
        <f t="shared" si="48"/>
        <v>2.2613065326633208</v>
      </c>
      <c r="G160" s="185">
        <f t="shared" si="45"/>
        <v>5.1679586563307511</v>
      </c>
      <c r="H160" s="174">
        <f t="shared" si="18"/>
        <v>1.1113841113841116</v>
      </c>
    </row>
    <row r="161" spans="1:8" ht="16.5" customHeight="1">
      <c r="A161" s="163" t="str">
        <f>Câmbio!A161</f>
        <v>JULHO|16</v>
      </c>
      <c r="B161" s="180">
        <f>[2]cárter!$B272</f>
        <v>17.442857142857143</v>
      </c>
      <c r="C161" s="165">
        <f t="shared" si="47"/>
        <v>367.9927667269439</v>
      </c>
      <c r="D161" s="183">
        <f t="shared" si="46"/>
        <v>0</v>
      </c>
      <c r="E161" s="183">
        <f t="shared" ref="E161" si="49">100*(B161/B$154-1)</f>
        <v>1.4962593516209655</v>
      </c>
      <c r="F161" s="184">
        <f t="shared" si="48"/>
        <v>2.2613065326633208</v>
      </c>
      <c r="G161" s="185">
        <f t="shared" ref="G161" si="50">100*(B161/B137-1)</f>
        <v>5.1679586563307511</v>
      </c>
      <c r="H161" s="174">
        <f t="shared" si="18"/>
        <v>1.1113841113841116</v>
      </c>
    </row>
    <row r="162" spans="1:8" ht="16.5" customHeight="1">
      <c r="A162" s="163" t="str">
        <f>Câmbio!A162</f>
        <v>AGOSTO|16</v>
      </c>
      <c r="B162" s="180">
        <f>[2]cárter!$B273</f>
        <v>17.442857142857143</v>
      </c>
      <c r="C162" s="165">
        <f t="shared" si="47"/>
        <v>367.9927667269439</v>
      </c>
      <c r="D162" s="183">
        <f t="shared" ref="D162" si="51">100*(B162/B161-1)</f>
        <v>0</v>
      </c>
      <c r="E162" s="183">
        <f t="shared" ref="E162" si="52">100*(B162/B$154-1)</f>
        <v>1.4962593516209655</v>
      </c>
      <c r="F162" s="184">
        <f t="shared" si="48"/>
        <v>1.4962593516209655</v>
      </c>
      <c r="G162" s="185">
        <f t="shared" ref="G162" si="53">100*(B162/B138-1)</f>
        <v>5.1679586563307511</v>
      </c>
      <c r="H162" s="174">
        <f t="shared" ref="H162:H211" si="54">+B$211/B162</f>
        <v>1.1113841113841116</v>
      </c>
    </row>
    <row r="163" spans="1:8" ht="16.5" customHeight="1">
      <c r="A163" s="163" t="str">
        <f>Câmbio!A163</f>
        <v>SETEMBRO|16</v>
      </c>
      <c r="B163" s="180">
        <f>[2]cárter!$B274</f>
        <v>17.442857142857143</v>
      </c>
      <c r="C163" s="165">
        <f t="shared" si="47"/>
        <v>367.9927667269439</v>
      </c>
      <c r="D163" s="183">
        <f t="shared" ref="D163" si="55">100*(B163/B162-1)</f>
        <v>0</v>
      </c>
      <c r="E163" s="183">
        <f t="shared" ref="E163" si="56">100*(B163/B$154-1)</f>
        <v>1.4962593516209655</v>
      </c>
      <c r="F163" s="184">
        <f t="shared" si="48"/>
        <v>1.4962593516209655</v>
      </c>
      <c r="G163" s="185">
        <f t="shared" ref="G163" si="57">100*(B163/B139-1)</f>
        <v>5.1679586563307511</v>
      </c>
      <c r="H163" s="174">
        <f t="shared" si="54"/>
        <v>1.1113841113841116</v>
      </c>
    </row>
    <row r="164" spans="1:8" ht="16.5" customHeight="1">
      <c r="A164" s="163" t="str">
        <f>Câmbio!A164</f>
        <v>OUTUBRO|16</v>
      </c>
      <c r="B164" s="180">
        <f>[2]cárter!$B275</f>
        <v>17.442857142857143</v>
      </c>
      <c r="C164" s="165">
        <f t="shared" si="47"/>
        <v>367.9927667269439</v>
      </c>
      <c r="D164" s="183">
        <f t="shared" ref="D164" si="58">100*(B164/B163-1)</f>
        <v>0</v>
      </c>
      <c r="E164" s="183">
        <f t="shared" ref="E164" si="59">100*(B164/B$154-1)</f>
        <v>1.4962593516209655</v>
      </c>
      <c r="F164" s="184">
        <f t="shared" si="48"/>
        <v>1.4962593516209655</v>
      </c>
      <c r="G164" s="185">
        <f t="shared" ref="G164" si="60">100*(B164/B140-1)</f>
        <v>5.1679586563307511</v>
      </c>
      <c r="H164" s="174">
        <f t="shared" si="54"/>
        <v>1.1113841113841116</v>
      </c>
    </row>
    <row r="165" spans="1:8" ht="16.5" customHeight="1">
      <c r="A165" s="163" t="str">
        <f>Câmbio!A165</f>
        <v>NOVEMBRO|16</v>
      </c>
      <c r="B165" s="180">
        <f>[2]cárter!$B276</f>
        <v>17.442857142857143</v>
      </c>
      <c r="C165" s="165">
        <f t="shared" ref="C165" si="61">100*B165/B$8</f>
        <v>367.9927667269439</v>
      </c>
      <c r="D165" s="183">
        <f t="shared" ref="D165" si="62">100*(B165/B164-1)</f>
        <v>0</v>
      </c>
      <c r="E165" s="183">
        <f t="shared" ref="E165" si="63">100*(B165/B$154-1)</f>
        <v>1.4962593516209655</v>
      </c>
      <c r="F165" s="184">
        <f t="shared" ref="F165" si="64">(100*(B165/B153-1))</f>
        <v>1.4962593516209655</v>
      </c>
      <c r="G165" s="185">
        <f t="shared" ref="G165" si="65">100*(B165/B141-1)</f>
        <v>5.1679586563307511</v>
      </c>
      <c r="H165" s="174">
        <f t="shared" si="54"/>
        <v>1.1113841113841116</v>
      </c>
    </row>
    <row r="166" spans="1:8" ht="16.5" customHeight="1">
      <c r="A166" s="163" t="str">
        <f>Câmbio!A166</f>
        <v>DEZEMBRO|16</v>
      </c>
      <c r="B166" s="180">
        <f>[2]cárter!$B277</f>
        <v>17.442857142857143</v>
      </c>
      <c r="C166" s="165">
        <f t="shared" ref="C166" si="66">100*B166/B$8</f>
        <v>367.9927667269439</v>
      </c>
      <c r="D166" s="183">
        <f t="shared" ref="D166" si="67">100*(B166/B165-1)</f>
        <v>0</v>
      </c>
      <c r="E166" s="183">
        <f t="shared" ref="E166" si="68">100*(B166/B$154-1)</f>
        <v>1.4962593516209655</v>
      </c>
      <c r="F166" s="184">
        <f t="shared" ref="F166" si="69">(100*(B166/B154-1))</f>
        <v>1.4962593516209655</v>
      </c>
      <c r="G166" s="185">
        <f t="shared" ref="G166" si="70">100*(B166/B142-1)</f>
        <v>5.1679586563307511</v>
      </c>
      <c r="H166" s="174">
        <f t="shared" si="54"/>
        <v>1.1113841113841116</v>
      </c>
    </row>
    <row r="167" spans="1:8" ht="16.5" customHeight="1">
      <c r="A167" s="163" t="str">
        <f>Câmbio!A167</f>
        <v>JANEIRO|17</v>
      </c>
      <c r="B167" s="180">
        <f>[2]cárter!$B278</f>
        <v>17.442857142857143</v>
      </c>
      <c r="C167" s="165">
        <f t="shared" ref="C167" si="71">100*B167/B$8</f>
        <v>367.9927667269439</v>
      </c>
      <c r="D167" s="183">
        <f t="shared" ref="D167" si="72">100*(B167/B166-1)</f>
        <v>0</v>
      </c>
      <c r="E167" s="183">
        <f t="shared" ref="E167:E172" si="73">100*(B167/B$166-1)</f>
        <v>0</v>
      </c>
      <c r="F167" s="184">
        <f t="shared" ref="F167" si="74">(100*(B167/B155-1))</f>
        <v>1.4962593516209655</v>
      </c>
      <c r="G167" s="185">
        <f t="shared" ref="G167" si="75">100*(B167/B143-1)</f>
        <v>2.9510961214165299</v>
      </c>
      <c r="H167" s="174">
        <f t="shared" si="54"/>
        <v>1.1113841113841116</v>
      </c>
    </row>
    <row r="168" spans="1:8" ht="16.5" customHeight="1">
      <c r="A168" s="163" t="str">
        <f>Câmbio!A168</f>
        <v>FEVEREIRO|17</v>
      </c>
      <c r="B168" s="180">
        <f>[2]cárter!$B279</f>
        <v>17.442857142857143</v>
      </c>
      <c r="C168" s="165">
        <f t="shared" ref="C168" si="76">100*B168/B$8</f>
        <v>367.9927667269439</v>
      </c>
      <c r="D168" s="183">
        <f t="shared" ref="D168" si="77">100*(B168/B167-1)</f>
        <v>0</v>
      </c>
      <c r="E168" s="183">
        <f t="shared" si="73"/>
        <v>0</v>
      </c>
      <c r="F168" s="184">
        <f t="shared" ref="F168" si="78">(100*(B168/B156-1))</f>
        <v>1.4962593516209655</v>
      </c>
      <c r="G168" s="185">
        <f t="shared" ref="G168" si="79">100*(B168/B144-1)</f>
        <v>2.2613065326633208</v>
      </c>
      <c r="H168" s="174">
        <f t="shared" si="54"/>
        <v>1.1113841113841116</v>
      </c>
    </row>
    <row r="169" spans="1:8" ht="16.5" customHeight="1">
      <c r="A169" s="163" t="str">
        <f>Câmbio!A169</f>
        <v>MARÇO|17</v>
      </c>
      <c r="B169" s="180">
        <f>[2]cárter!$B280</f>
        <v>17.642857142857142</v>
      </c>
      <c r="C169" s="165">
        <f t="shared" ref="C169" si="80">100*B169/B$8</f>
        <v>372.21217600964434</v>
      </c>
      <c r="D169" s="183">
        <f t="shared" ref="D169" si="81">100*(B169/B168-1)</f>
        <v>1.146601146601145</v>
      </c>
      <c r="E169" s="183">
        <f t="shared" si="73"/>
        <v>1.146601146601145</v>
      </c>
      <c r="F169" s="184">
        <f t="shared" ref="F169" si="82">(100*(B169/B157-1))</f>
        <v>2.6600166251039115</v>
      </c>
      <c r="G169" s="185">
        <f t="shared" ref="G169" si="83">100*(B169/B145-1)</f>
        <v>3.4338358458961382</v>
      </c>
      <c r="H169" s="174">
        <f t="shared" si="54"/>
        <v>1.0987854251012148</v>
      </c>
    </row>
    <row r="170" spans="1:8" ht="16.5" customHeight="1">
      <c r="A170" s="163" t="str">
        <f>Câmbio!A170</f>
        <v>ABRIL|17</v>
      </c>
      <c r="B170" s="180">
        <f>[2]cárter!$B281</f>
        <v>17.642857142857142</v>
      </c>
      <c r="C170" s="165">
        <f t="shared" ref="C170" si="84">100*B170/B$8</f>
        <v>372.21217600964434</v>
      </c>
      <c r="D170" s="183">
        <f t="shared" ref="D170" si="85">100*(B170/B169-1)</f>
        <v>0</v>
      </c>
      <c r="E170" s="183">
        <f t="shared" si="73"/>
        <v>1.146601146601145</v>
      </c>
      <c r="F170" s="184">
        <f t="shared" ref="F170" si="86">(100*(B170/B158-1))</f>
        <v>1.146601146601145</v>
      </c>
      <c r="G170" s="185">
        <f t="shared" ref="G170" si="87">100*(B170/B146-1)</f>
        <v>3.4338358458961382</v>
      </c>
      <c r="H170" s="174">
        <f t="shared" si="54"/>
        <v>1.0987854251012148</v>
      </c>
    </row>
    <row r="171" spans="1:8" ht="16.5" customHeight="1">
      <c r="A171" s="163" t="str">
        <f>Câmbio!A171</f>
        <v>MAIO|17</v>
      </c>
      <c r="B171" s="180">
        <f>[2]cárter!$B282</f>
        <v>17.642857142857142</v>
      </c>
      <c r="C171" s="165">
        <f t="shared" ref="C171" si="88">100*B171/B$8</f>
        <v>372.21217600964434</v>
      </c>
      <c r="D171" s="183">
        <f t="shared" ref="D171" si="89">100*(B171/B170-1)</f>
        <v>0</v>
      </c>
      <c r="E171" s="183">
        <f t="shared" si="73"/>
        <v>1.146601146601145</v>
      </c>
      <c r="F171" s="184">
        <f t="shared" ref="F171" si="90">(100*(B171/B159-1))</f>
        <v>1.146601146601145</v>
      </c>
      <c r="G171" s="185">
        <f t="shared" ref="G171" si="91">100*(B171/B147-1)</f>
        <v>3.4338358458961382</v>
      </c>
      <c r="H171" s="174">
        <f t="shared" si="54"/>
        <v>1.0987854251012148</v>
      </c>
    </row>
    <row r="172" spans="1:8" ht="16.5" customHeight="1">
      <c r="A172" s="163" t="str">
        <f>Câmbio!A172</f>
        <v>JUNHO|17</v>
      </c>
      <c r="B172" s="180">
        <f>[2]cárter!$B283</f>
        <v>17.642857142857142</v>
      </c>
      <c r="C172" s="165">
        <f t="shared" ref="C172" si="92">100*B172/B$8</f>
        <v>372.21217600964434</v>
      </c>
      <c r="D172" s="183">
        <f t="shared" ref="D172" si="93">100*(B172/B171-1)</f>
        <v>0</v>
      </c>
      <c r="E172" s="183">
        <f t="shared" si="73"/>
        <v>1.146601146601145</v>
      </c>
      <c r="F172" s="184">
        <f t="shared" ref="F172" si="94">(100*(B172/B160-1))</f>
        <v>1.146601146601145</v>
      </c>
      <c r="G172" s="185">
        <f t="shared" ref="G172" si="95">100*(B172/B148-1)</f>
        <v>3.4338358458961382</v>
      </c>
      <c r="H172" s="174">
        <f t="shared" si="54"/>
        <v>1.0987854251012148</v>
      </c>
    </row>
    <row r="173" spans="1:8" ht="16.5" customHeight="1">
      <c r="A173" s="163" t="str">
        <f>Câmbio!A173</f>
        <v>JULHO|17</v>
      </c>
      <c r="B173" s="180">
        <f>[2]cárter!$B284</f>
        <v>17.642857142857142</v>
      </c>
      <c r="C173" s="165">
        <f t="shared" ref="C173" si="96">100*B173/B$8</f>
        <v>372.21217600964434</v>
      </c>
      <c r="D173" s="183">
        <f t="shared" ref="D173" si="97">100*(B173/B172-1)</f>
        <v>0</v>
      </c>
      <c r="E173" s="183">
        <f t="shared" ref="E173" si="98">100*(B173/B$166-1)</f>
        <v>1.146601146601145</v>
      </c>
      <c r="F173" s="184">
        <f t="shared" ref="F173" si="99">(100*(B173/B161-1))</f>
        <v>1.146601146601145</v>
      </c>
      <c r="G173" s="185">
        <f t="shared" ref="G173" si="100">100*(B173/B149-1)</f>
        <v>3.4338358458961382</v>
      </c>
      <c r="H173" s="174">
        <f t="shared" si="54"/>
        <v>1.0987854251012148</v>
      </c>
    </row>
    <row r="174" spans="1:8" ht="16.5" customHeight="1">
      <c r="A174" s="163" t="str">
        <f>Câmbio!A174</f>
        <v>AGOSTO|17</v>
      </c>
      <c r="B174" s="180">
        <f>[2]cárter!$B285</f>
        <v>17.642857142857142</v>
      </c>
      <c r="C174" s="165">
        <f t="shared" ref="C174" si="101">100*B174/B$8</f>
        <v>372.21217600964434</v>
      </c>
      <c r="D174" s="183">
        <f t="shared" ref="D174" si="102">100*(B174/B173-1)</f>
        <v>0</v>
      </c>
      <c r="E174" s="183">
        <f t="shared" ref="E174" si="103">100*(B174/B$166-1)</f>
        <v>1.146601146601145</v>
      </c>
      <c r="F174" s="184">
        <f t="shared" ref="F174" si="104">(100*(B174/B162-1))</f>
        <v>1.146601146601145</v>
      </c>
      <c r="G174" s="185">
        <f t="shared" ref="G174" si="105">100*(B174/B150-1)</f>
        <v>2.6600166251039115</v>
      </c>
      <c r="H174" s="174">
        <f t="shared" si="54"/>
        <v>1.0987854251012148</v>
      </c>
    </row>
    <row r="175" spans="1:8" ht="16.5" customHeight="1">
      <c r="A175" s="163" t="str">
        <f>Câmbio!A175</f>
        <v>SETEMBRO|17</v>
      </c>
      <c r="B175" s="180">
        <f>[2]cárter!$B286</f>
        <v>17.642857142857142</v>
      </c>
      <c r="C175" s="165">
        <f t="shared" ref="C175" si="106">100*B175/B$8</f>
        <v>372.21217600964434</v>
      </c>
      <c r="D175" s="183">
        <f t="shared" ref="D175" si="107">100*(B175/B174-1)</f>
        <v>0</v>
      </c>
      <c r="E175" s="183">
        <f t="shared" ref="E175" si="108">100*(B175/B$166-1)</f>
        <v>1.146601146601145</v>
      </c>
      <c r="F175" s="184">
        <f t="shared" ref="F175" si="109">(100*(B175/B163-1))</f>
        <v>1.146601146601145</v>
      </c>
      <c r="G175" s="185">
        <f t="shared" ref="G175" si="110">100*(B175/B151-1)</f>
        <v>2.6600166251039115</v>
      </c>
      <c r="H175" s="174">
        <f t="shared" si="54"/>
        <v>1.0987854251012148</v>
      </c>
    </row>
    <row r="176" spans="1:8" ht="16.5" customHeight="1">
      <c r="A176" s="163" t="str">
        <f>Câmbio!A176</f>
        <v>OUTUBRO|17</v>
      </c>
      <c r="B176" s="180">
        <f>[2]cárter!$B287</f>
        <v>17.642857142857142</v>
      </c>
      <c r="C176" s="165">
        <f t="shared" ref="C176" si="111">100*B176/B$8</f>
        <v>372.21217600964434</v>
      </c>
      <c r="D176" s="183">
        <f t="shared" ref="D176" si="112">100*(B176/B175-1)</f>
        <v>0</v>
      </c>
      <c r="E176" s="183">
        <f t="shared" ref="E176" si="113">100*(B176/B$166-1)</f>
        <v>1.146601146601145</v>
      </c>
      <c r="F176" s="184">
        <f t="shared" ref="F176" si="114">(100*(B176/B164-1))</f>
        <v>1.146601146601145</v>
      </c>
      <c r="G176" s="185">
        <f t="shared" ref="G176" si="115">100*(B176/B152-1)</f>
        <v>2.6600166251039115</v>
      </c>
      <c r="H176" s="174">
        <f t="shared" si="54"/>
        <v>1.0987854251012148</v>
      </c>
    </row>
    <row r="177" spans="1:8" ht="16.5" customHeight="1">
      <c r="A177" s="163" t="str">
        <f>Câmbio!A177</f>
        <v>NOVEMBRO|17</v>
      </c>
      <c r="B177" s="180">
        <f>[2]cárter!$B288</f>
        <v>18.271428571428572</v>
      </c>
      <c r="C177" s="165">
        <f t="shared" ref="C177" si="116">100*B177/B$8</f>
        <v>385.47317661241715</v>
      </c>
      <c r="D177" s="183">
        <f t="shared" ref="D177" si="117">100*(B177/B176-1)</f>
        <v>3.5627530364372495</v>
      </c>
      <c r="E177" s="183">
        <f t="shared" ref="E177" si="118">100*(B177/B$166-1)</f>
        <v>4.7502047502047562</v>
      </c>
      <c r="F177" s="184">
        <f t="shared" ref="F177" si="119">(100*(B177/B165-1))</f>
        <v>4.7502047502047562</v>
      </c>
      <c r="G177" s="185">
        <f t="shared" ref="G177" si="120">100*(B177/B153-1)</f>
        <v>6.3175394846217925</v>
      </c>
      <c r="H177" s="174">
        <f t="shared" si="54"/>
        <v>1.0609851446442535</v>
      </c>
    </row>
    <row r="178" spans="1:8" ht="16.5" customHeight="1">
      <c r="A178" s="163" t="str">
        <f>Câmbio!A178</f>
        <v>DEZEMBRO|17</v>
      </c>
      <c r="B178" s="180">
        <f>[2]cárter!$B289</f>
        <v>18.271428571428572</v>
      </c>
      <c r="C178" s="165">
        <f t="shared" ref="C178" si="121">100*B178/B$8</f>
        <v>385.47317661241715</v>
      </c>
      <c r="D178" s="183">
        <f t="shared" ref="D178" si="122">100*(B178/B177-1)</f>
        <v>0</v>
      </c>
      <c r="E178" s="183">
        <f t="shared" ref="E178" si="123">100*(B178/B$166-1)</f>
        <v>4.7502047502047562</v>
      </c>
      <c r="F178" s="184">
        <f t="shared" ref="F178" si="124">(100*(B178/B166-1))</f>
        <v>4.7502047502047562</v>
      </c>
      <c r="G178" s="185">
        <f t="shared" ref="G178" si="125">100*(B178/B154-1)</f>
        <v>6.3175394846217925</v>
      </c>
      <c r="H178" s="174">
        <f t="shared" si="54"/>
        <v>1.0609851446442535</v>
      </c>
    </row>
    <row r="179" spans="1:8" ht="16.5" customHeight="1">
      <c r="A179" s="163" t="str">
        <f>Câmbio!A179</f>
        <v>JANEIRO|18</v>
      </c>
      <c r="B179" s="180">
        <f>[2]cárter!$B290</f>
        <v>18.271428571428572</v>
      </c>
      <c r="C179" s="165">
        <f t="shared" ref="C179" si="126">100*B179/B$8</f>
        <v>385.47317661241715</v>
      </c>
      <c r="D179" s="183">
        <f t="shared" ref="D179" si="127">100*(B179/B178-1)</f>
        <v>0</v>
      </c>
      <c r="E179" s="183">
        <f t="shared" ref="E179:E184" si="128">100*(B179/B$178-1)</f>
        <v>0</v>
      </c>
      <c r="F179" s="184">
        <f t="shared" ref="F179" si="129">(100*(B179/B167-1))</f>
        <v>4.7502047502047562</v>
      </c>
      <c r="G179" s="185">
        <f t="shared" ref="G179" si="130">100*(B179/B155-1)</f>
        <v>6.3175394846217925</v>
      </c>
      <c r="H179" s="174">
        <f t="shared" si="54"/>
        <v>1.0609851446442535</v>
      </c>
    </row>
    <row r="180" spans="1:8" ht="16.5" customHeight="1">
      <c r="A180" s="163" t="str">
        <f>Câmbio!A180</f>
        <v>FEVEREIRO|18</v>
      </c>
      <c r="B180" s="180">
        <f>[2]cárter!$B291</f>
        <v>18.271428571428572</v>
      </c>
      <c r="C180" s="165">
        <f t="shared" ref="C180" si="131">100*B180/B$8</f>
        <v>385.47317661241715</v>
      </c>
      <c r="D180" s="183">
        <f t="shared" ref="D180" si="132">100*(B180/B179-1)</f>
        <v>0</v>
      </c>
      <c r="E180" s="183">
        <f t="shared" si="128"/>
        <v>0</v>
      </c>
      <c r="F180" s="184">
        <f t="shared" ref="F180" si="133">(100*(B180/B168-1))</f>
        <v>4.7502047502047562</v>
      </c>
      <c r="G180" s="185">
        <f t="shared" ref="G180" si="134">100*(B180/B156-1)</f>
        <v>6.3175394846217925</v>
      </c>
      <c r="H180" s="174">
        <f t="shared" si="54"/>
        <v>1.0609851446442535</v>
      </c>
    </row>
    <row r="181" spans="1:8" ht="16.5" customHeight="1">
      <c r="A181" s="163" t="str">
        <f>Câmbio!A181</f>
        <v>MARÇO|18</v>
      </c>
      <c r="B181" s="180">
        <f>[2]cárter!$B292</f>
        <v>18.271428571428572</v>
      </c>
      <c r="C181" s="165">
        <f t="shared" ref="C181" si="135">100*B181/B$8</f>
        <v>385.47317661241715</v>
      </c>
      <c r="D181" s="183">
        <f t="shared" ref="D181" si="136">100*(B181/B180-1)</f>
        <v>0</v>
      </c>
      <c r="E181" s="183">
        <f t="shared" si="128"/>
        <v>0</v>
      </c>
      <c r="F181" s="184">
        <f t="shared" ref="F181" si="137">(100*(B181/B169-1))</f>
        <v>3.5627530364372495</v>
      </c>
      <c r="G181" s="185">
        <f t="shared" ref="G181" si="138">100*(B181/B157-1)</f>
        <v>6.3175394846217925</v>
      </c>
      <c r="H181" s="174">
        <f t="shared" si="54"/>
        <v>1.0609851446442535</v>
      </c>
    </row>
    <row r="182" spans="1:8" ht="16.5" customHeight="1">
      <c r="A182" s="163" t="str">
        <f>Câmbio!A182</f>
        <v>ABRIL|18</v>
      </c>
      <c r="B182" s="180">
        <f>[2]cárter!$B293</f>
        <v>18.271428571428572</v>
      </c>
      <c r="C182" s="165">
        <f t="shared" ref="C182" si="139">100*B182/B$8</f>
        <v>385.47317661241715</v>
      </c>
      <c r="D182" s="183">
        <f t="shared" ref="D182" si="140">100*(B182/B181-1)</f>
        <v>0</v>
      </c>
      <c r="E182" s="183">
        <f t="shared" si="128"/>
        <v>0</v>
      </c>
      <c r="F182" s="184">
        <f t="shared" ref="F182" si="141">(100*(B182/B170-1))</f>
        <v>3.5627530364372495</v>
      </c>
      <c r="G182" s="185">
        <f t="shared" ref="G182" si="142">100*(B182/B158-1)</f>
        <v>4.7502047502047562</v>
      </c>
      <c r="H182" s="174">
        <f t="shared" si="54"/>
        <v>1.0609851446442535</v>
      </c>
    </row>
    <row r="183" spans="1:8" ht="16.5" customHeight="1">
      <c r="A183" s="163" t="str">
        <f>Câmbio!A183</f>
        <v>MAIO|18</v>
      </c>
      <c r="B183" s="180">
        <f>[2]cárter!$B294</f>
        <v>18.271428571428572</v>
      </c>
      <c r="C183" s="165">
        <f t="shared" ref="C183" si="143">100*B183/B$8</f>
        <v>385.47317661241715</v>
      </c>
      <c r="D183" s="183">
        <f t="shared" ref="D183" si="144">100*(B183/B182-1)</f>
        <v>0</v>
      </c>
      <c r="E183" s="183">
        <f t="shared" si="128"/>
        <v>0</v>
      </c>
      <c r="F183" s="184">
        <f t="shared" ref="F183" si="145">(100*(B183/B171-1))</f>
        <v>3.5627530364372495</v>
      </c>
      <c r="G183" s="185">
        <f t="shared" ref="G183" si="146">100*(B183/B159-1)</f>
        <v>4.7502047502047562</v>
      </c>
      <c r="H183" s="174">
        <f t="shared" si="54"/>
        <v>1.0609851446442535</v>
      </c>
    </row>
    <row r="184" spans="1:8" ht="16.5" customHeight="1">
      <c r="A184" s="163" t="str">
        <f>Câmbio!A184</f>
        <v>JUNHO|18</v>
      </c>
      <c r="B184" s="180">
        <f>[2]cárter!$B295</f>
        <v>18.642857142857142</v>
      </c>
      <c r="C184" s="165">
        <f t="shared" ref="C184" si="147">100*B184/B$8</f>
        <v>393.30922242314642</v>
      </c>
      <c r="D184" s="183">
        <f t="shared" ref="D184" si="148">100*(B184/B183-1)</f>
        <v>2.0328381548084362</v>
      </c>
      <c r="E184" s="183">
        <f t="shared" si="128"/>
        <v>2.0328381548084362</v>
      </c>
      <c r="F184" s="184">
        <f t="shared" ref="F184" si="149">(100*(B184/B172-1))</f>
        <v>5.6680161943319929</v>
      </c>
      <c r="G184" s="185">
        <f t="shared" ref="G184" si="150">100*(B184/B160-1)</f>
        <v>6.8796068796068699</v>
      </c>
      <c r="H184" s="174">
        <f t="shared" si="54"/>
        <v>1.0398467432950194</v>
      </c>
    </row>
    <row r="185" spans="1:8" ht="16.5" customHeight="1">
      <c r="A185" s="163" t="str">
        <f>Câmbio!A185</f>
        <v>JULHO|18</v>
      </c>
      <c r="B185" s="180">
        <f>[2]cárter!$B296</f>
        <v>18.642857142857142</v>
      </c>
      <c r="C185" s="165">
        <f t="shared" ref="C185" si="151">100*B185/B$8</f>
        <v>393.30922242314642</v>
      </c>
      <c r="D185" s="183">
        <f t="shared" ref="D185" si="152">100*(B185/B184-1)</f>
        <v>0</v>
      </c>
      <c r="E185" s="183">
        <f t="shared" ref="E185" si="153">100*(B185/B$178-1)</f>
        <v>2.0328381548084362</v>
      </c>
      <c r="F185" s="184">
        <f t="shared" ref="F185" si="154">(100*(B185/B173-1))</f>
        <v>5.6680161943319929</v>
      </c>
      <c r="G185" s="185">
        <f t="shared" ref="G185" si="155">100*(B185/B161-1)</f>
        <v>6.8796068796068699</v>
      </c>
      <c r="H185" s="174">
        <f t="shared" si="54"/>
        <v>1.0398467432950194</v>
      </c>
    </row>
    <row r="186" spans="1:8" ht="16.5" customHeight="1">
      <c r="A186" s="163" t="str">
        <f>Câmbio!A186</f>
        <v>AGOSTO|18</v>
      </c>
      <c r="B186" s="180">
        <f>[2]cárter!$B297</f>
        <v>18.642857142857142</v>
      </c>
      <c r="C186" s="165">
        <f t="shared" ref="C186" si="156">100*B186/B$8</f>
        <v>393.30922242314642</v>
      </c>
      <c r="D186" s="183">
        <f t="shared" ref="D186" si="157">100*(B186/B185-1)</f>
        <v>0</v>
      </c>
      <c r="E186" s="183">
        <f t="shared" ref="E186" si="158">100*(B186/B$178-1)</f>
        <v>2.0328381548084362</v>
      </c>
      <c r="F186" s="184">
        <f t="shared" ref="F186" si="159">(100*(B186/B174-1))</f>
        <v>5.6680161943319929</v>
      </c>
      <c r="G186" s="185">
        <f t="shared" ref="G186" si="160">100*(B186/B162-1)</f>
        <v>6.8796068796068699</v>
      </c>
      <c r="H186" s="174">
        <f t="shared" si="54"/>
        <v>1.0398467432950194</v>
      </c>
    </row>
    <row r="187" spans="1:8" ht="16.5" customHeight="1">
      <c r="A187" s="163" t="str">
        <f>Câmbio!A187</f>
        <v>SETEMBRO|18</v>
      </c>
      <c r="B187" s="180">
        <f>[2]cárter!$B298</f>
        <v>18.642857142857142</v>
      </c>
      <c r="C187" s="165">
        <f t="shared" ref="C187" si="161">100*B187/B$8</f>
        <v>393.30922242314642</v>
      </c>
      <c r="D187" s="183">
        <f t="shared" ref="D187" si="162">100*(B187/B186-1)</f>
        <v>0</v>
      </c>
      <c r="E187" s="183">
        <f t="shared" ref="E187" si="163">100*(B187/B$178-1)</f>
        <v>2.0328381548084362</v>
      </c>
      <c r="F187" s="184">
        <f t="shared" ref="F187" si="164">(100*(B187/B175-1))</f>
        <v>5.6680161943319929</v>
      </c>
      <c r="G187" s="185">
        <f t="shared" ref="G187" si="165">100*(B187/B163-1)</f>
        <v>6.8796068796068699</v>
      </c>
      <c r="H187" s="174">
        <f t="shared" si="54"/>
        <v>1.0398467432950194</v>
      </c>
    </row>
    <row r="188" spans="1:8" ht="16.5" customHeight="1">
      <c r="A188" s="163" t="str">
        <f>Câmbio!A188</f>
        <v>OUTUBRO|18</v>
      </c>
      <c r="B188" s="180">
        <f>[2]cárter!$B299</f>
        <v>18.642857142857142</v>
      </c>
      <c r="C188" s="165">
        <f t="shared" ref="C188" si="166">100*B188/B$8</f>
        <v>393.30922242314642</v>
      </c>
      <c r="D188" s="183">
        <f t="shared" ref="D188" si="167">100*(B188/B187-1)</f>
        <v>0</v>
      </c>
      <c r="E188" s="183">
        <f t="shared" ref="E188" si="168">100*(B188/B$178-1)</f>
        <v>2.0328381548084362</v>
      </c>
      <c r="F188" s="184">
        <f t="shared" ref="F188" si="169">(100*(B188/B176-1))</f>
        <v>5.6680161943319929</v>
      </c>
      <c r="G188" s="185">
        <f t="shared" ref="G188" si="170">100*(B188/B164-1)</f>
        <v>6.8796068796068699</v>
      </c>
      <c r="H188" s="174">
        <f t="shared" si="54"/>
        <v>1.0398467432950194</v>
      </c>
    </row>
    <row r="189" spans="1:8" ht="16.5" customHeight="1">
      <c r="A189" s="163" t="str">
        <f>Câmbio!A189</f>
        <v>NOVEMBRO|18</v>
      </c>
      <c r="B189" s="180">
        <f>[2]cárter!$B300</f>
        <v>18.642857142857142</v>
      </c>
      <c r="C189" s="165">
        <f t="shared" ref="C189" si="171">100*B189/B$8</f>
        <v>393.30922242314642</v>
      </c>
      <c r="D189" s="183">
        <f t="shared" ref="D189" si="172">100*(B189/B188-1)</f>
        <v>0</v>
      </c>
      <c r="E189" s="183">
        <f t="shared" ref="E189" si="173">100*(B189/B$178-1)</f>
        <v>2.0328381548084362</v>
      </c>
      <c r="F189" s="184">
        <f t="shared" ref="F189" si="174">(100*(B189/B177-1))</f>
        <v>2.0328381548084362</v>
      </c>
      <c r="G189" s="185">
        <f t="shared" ref="G189" si="175">100*(B189/B165-1)</f>
        <v>6.8796068796068699</v>
      </c>
      <c r="H189" s="174">
        <f t="shared" si="54"/>
        <v>1.0398467432950194</v>
      </c>
    </row>
    <row r="190" spans="1:8" ht="16.5" customHeight="1">
      <c r="A190" s="163" t="str">
        <f>Câmbio!A190</f>
        <v>DEZEMBRO|18</v>
      </c>
      <c r="B190" s="180">
        <f>[2]cárter!$B301</f>
        <v>18.642857142857142</v>
      </c>
      <c r="C190" s="165">
        <f t="shared" ref="C190" si="176">100*B190/B$8</f>
        <v>393.30922242314642</v>
      </c>
      <c r="D190" s="183">
        <f t="shared" ref="D190" si="177">100*(B190/B189-1)</f>
        <v>0</v>
      </c>
      <c r="E190" s="183">
        <f t="shared" ref="E190" si="178">100*(B190/B$178-1)</f>
        <v>2.0328381548084362</v>
      </c>
      <c r="F190" s="184">
        <f t="shared" ref="F190" si="179">(100*(B190/B178-1))</f>
        <v>2.0328381548084362</v>
      </c>
      <c r="G190" s="185">
        <f t="shared" ref="G190" si="180">100*(B190/B166-1)</f>
        <v>6.8796068796068699</v>
      </c>
      <c r="H190" s="174">
        <f t="shared" si="54"/>
        <v>1.0398467432950194</v>
      </c>
    </row>
    <row r="191" spans="1:8" ht="16.5" customHeight="1">
      <c r="A191" s="163" t="str">
        <f>Câmbio!A191</f>
        <v>JANEIRO|19</v>
      </c>
      <c r="B191" s="180">
        <f>[2]cárter!$B302</f>
        <v>18.642857142857142</v>
      </c>
      <c r="C191" s="165">
        <f t="shared" ref="C191" si="181">100*B191/B$8</f>
        <v>393.30922242314642</v>
      </c>
      <c r="D191" s="183">
        <f t="shared" ref="D191" si="182">100*(B191/B190-1)</f>
        <v>0</v>
      </c>
      <c r="E191" s="183">
        <f t="shared" ref="E191:E196" si="183">100*(B191/B$190-1)</f>
        <v>0</v>
      </c>
      <c r="F191" s="184">
        <f t="shared" ref="F191" si="184">(100*(B191/B179-1))</f>
        <v>2.0328381548084362</v>
      </c>
      <c r="G191" s="185">
        <f t="shared" ref="G191" si="185">100*(B191/B167-1)</f>
        <v>6.8796068796068699</v>
      </c>
      <c r="H191" s="174">
        <f t="shared" si="54"/>
        <v>1.0398467432950194</v>
      </c>
    </row>
    <row r="192" spans="1:8" ht="16.5" customHeight="1">
      <c r="A192" s="196" t="str">
        <f>Câmbio!A192</f>
        <v>FEVEREIRO|19</v>
      </c>
      <c r="B192" s="266">
        <f>[2]cárter!$B303</f>
        <v>19.071428571428573</v>
      </c>
      <c r="C192" s="197">
        <f t="shared" ref="C192" si="186">100*B192/B$8</f>
        <v>402.35081374321885</v>
      </c>
      <c r="D192" s="269">
        <f t="shared" ref="D192" si="187">100*(B192/B191-1)</f>
        <v>2.2988505747126631</v>
      </c>
      <c r="E192" s="269">
        <f t="shared" si="183"/>
        <v>2.2988505747126631</v>
      </c>
      <c r="F192" s="270">
        <f t="shared" ref="F192" si="188">(100*(B192/B180-1))</f>
        <v>4.3784206411258797</v>
      </c>
      <c r="G192" s="271">
        <f t="shared" ref="G192" si="189">100*(B192/B168-1)</f>
        <v>9.3366093366093352</v>
      </c>
      <c r="H192" s="174">
        <f t="shared" si="54"/>
        <v>1.0164794007490638</v>
      </c>
    </row>
    <row r="193" spans="1:8" ht="16.5" customHeight="1">
      <c r="A193" s="196" t="str">
        <f>Câmbio!A193</f>
        <v>MARÇO|19</v>
      </c>
      <c r="B193" s="266">
        <f>[2]cárter!$B304</f>
        <v>19.071428571428573</v>
      </c>
      <c r="C193" s="197">
        <f t="shared" ref="C193" si="190">100*B193/B$8</f>
        <v>402.35081374321885</v>
      </c>
      <c r="D193" s="269">
        <f t="shared" ref="D193" si="191">100*(B193/B192-1)</f>
        <v>0</v>
      </c>
      <c r="E193" s="269">
        <f t="shared" si="183"/>
        <v>2.2988505747126631</v>
      </c>
      <c r="F193" s="270">
        <f t="shared" ref="F193" si="192">(100*(B193/B181-1))</f>
        <v>4.3784206411258797</v>
      </c>
      <c r="G193" s="271">
        <f t="shared" ref="G193" si="193">100*(B193/B169-1)</f>
        <v>8.0971659919028447</v>
      </c>
      <c r="H193" s="174">
        <f t="shared" si="54"/>
        <v>1.0164794007490638</v>
      </c>
    </row>
    <row r="194" spans="1:8" ht="16.5" customHeight="1">
      <c r="A194" s="196" t="str">
        <f>Câmbio!A194</f>
        <v>ABRIL|19</v>
      </c>
      <c r="B194" s="266">
        <f>[2]cárter!$B305</f>
        <v>19.071428571428573</v>
      </c>
      <c r="C194" s="197">
        <f t="shared" ref="C194" si="194">100*B194/B$8</f>
        <v>402.35081374321885</v>
      </c>
      <c r="D194" s="269">
        <f t="shared" ref="D194" si="195">100*(B194/B193-1)</f>
        <v>0</v>
      </c>
      <c r="E194" s="269">
        <f t="shared" si="183"/>
        <v>2.2988505747126631</v>
      </c>
      <c r="F194" s="270">
        <f t="shared" ref="F194" si="196">(100*(B194/B182-1))</f>
        <v>4.3784206411258797</v>
      </c>
      <c r="G194" s="271">
        <f t="shared" ref="G194" si="197">100*(B194/B170-1)</f>
        <v>8.0971659919028447</v>
      </c>
      <c r="H194" s="174">
        <f t="shared" si="54"/>
        <v>1.0164794007490638</v>
      </c>
    </row>
    <row r="195" spans="1:8" ht="16.5" customHeight="1">
      <c r="A195" s="196" t="str">
        <f>Câmbio!A195</f>
        <v>MAIO|19</v>
      </c>
      <c r="B195" s="266">
        <f>[2]cárter!$B306</f>
        <v>19.071428571428573</v>
      </c>
      <c r="C195" s="197">
        <f t="shared" ref="C195" si="198">100*B195/B$8</f>
        <v>402.35081374321885</v>
      </c>
      <c r="D195" s="269">
        <f t="shared" ref="D195" si="199">100*(B195/B194-1)</f>
        <v>0</v>
      </c>
      <c r="E195" s="269">
        <f t="shared" si="183"/>
        <v>2.2988505747126631</v>
      </c>
      <c r="F195" s="270">
        <f t="shared" ref="F195" si="200">(100*(B195/B183-1))</f>
        <v>4.3784206411258797</v>
      </c>
      <c r="G195" s="271">
        <f t="shared" ref="G195" si="201">100*(B195/B171-1)</f>
        <v>8.0971659919028447</v>
      </c>
      <c r="H195" s="174">
        <f t="shared" si="54"/>
        <v>1.0164794007490638</v>
      </c>
    </row>
    <row r="196" spans="1:8" ht="16.5" customHeight="1">
      <c r="A196" s="196" t="str">
        <f>Câmbio!A196</f>
        <v>JUNHO|19</v>
      </c>
      <c r="B196" s="266">
        <f>[2]cárter!$B307</f>
        <v>19.071428571428573</v>
      </c>
      <c r="C196" s="197">
        <f t="shared" ref="C196" si="202">100*B196/B$8</f>
        <v>402.35081374321885</v>
      </c>
      <c r="D196" s="269">
        <f t="shared" ref="D196" si="203">100*(B196/B195-1)</f>
        <v>0</v>
      </c>
      <c r="E196" s="269">
        <f t="shared" si="183"/>
        <v>2.2988505747126631</v>
      </c>
      <c r="F196" s="270">
        <f t="shared" ref="F196" si="204">(100*(B196/B184-1))</f>
        <v>2.2988505747126631</v>
      </c>
      <c r="G196" s="271">
        <f t="shared" ref="G196" si="205">100*(B196/B172-1)</f>
        <v>8.0971659919028447</v>
      </c>
      <c r="H196" s="174">
        <f t="shared" si="54"/>
        <v>1.0164794007490638</v>
      </c>
    </row>
    <row r="197" spans="1:8" ht="16.5" customHeight="1">
      <c r="A197" s="196" t="str">
        <f>Câmbio!A197</f>
        <v>JULHO|19</v>
      </c>
      <c r="B197" s="266">
        <f>[2]cárter!$B308</f>
        <v>19.071428571428573</v>
      </c>
      <c r="C197" s="197">
        <f t="shared" ref="C197" si="206">100*B197/B$8</f>
        <v>402.35081374321885</v>
      </c>
      <c r="D197" s="269">
        <f t="shared" ref="D197" si="207">100*(B197/B196-1)</f>
        <v>0</v>
      </c>
      <c r="E197" s="269">
        <f t="shared" ref="E197" si="208">100*(B197/B$190-1)</f>
        <v>2.2988505747126631</v>
      </c>
      <c r="F197" s="270">
        <f t="shared" ref="F197" si="209">(100*(B197/B185-1))</f>
        <v>2.2988505747126631</v>
      </c>
      <c r="G197" s="271">
        <f t="shared" ref="G197" si="210">100*(B197/B173-1)</f>
        <v>8.0971659919028447</v>
      </c>
      <c r="H197" s="174">
        <f t="shared" si="54"/>
        <v>1.0164794007490638</v>
      </c>
    </row>
    <row r="198" spans="1:8" ht="16.5" customHeight="1">
      <c r="A198" s="196" t="str">
        <f>Câmbio!A198</f>
        <v>AGOSTO|19</v>
      </c>
      <c r="B198" s="266">
        <f>[2]cárter!$B309</f>
        <v>19.071428571428573</v>
      </c>
      <c r="C198" s="197">
        <f t="shared" ref="C198" si="211">100*B198/B$8</f>
        <v>402.35081374321885</v>
      </c>
      <c r="D198" s="269">
        <f t="shared" ref="D198" si="212">100*(B198/B197-1)</f>
        <v>0</v>
      </c>
      <c r="E198" s="269">
        <f t="shared" ref="E198" si="213">100*(B198/B$190-1)</f>
        <v>2.2988505747126631</v>
      </c>
      <c r="F198" s="270">
        <f t="shared" ref="F198" si="214">(100*(B198/B186-1))</f>
        <v>2.2988505747126631</v>
      </c>
      <c r="G198" s="271">
        <f t="shared" ref="G198" si="215">100*(B198/B174-1)</f>
        <v>8.0971659919028447</v>
      </c>
      <c r="H198" s="174">
        <f t="shared" si="54"/>
        <v>1.0164794007490638</v>
      </c>
    </row>
    <row r="199" spans="1:8" ht="16.5" customHeight="1">
      <c r="A199" s="196" t="str">
        <f>Câmbio!A199</f>
        <v>SETEMBRO|19</v>
      </c>
      <c r="B199" s="266">
        <f>[2]cárter!$B310</f>
        <v>19.071428571428573</v>
      </c>
      <c r="C199" s="197">
        <f t="shared" ref="C199" si="216">100*B199/B$8</f>
        <v>402.35081374321885</v>
      </c>
      <c r="D199" s="269">
        <f t="shared" ref="D199" si="217">100*(B199/B198-1)</f>
        <v>0</v>
      </c>
      <c r="E199" s="269">
        <f t="shared" ref="E199" si="218">100*(B199/B$190-1)</f>
        <v>2.2988505747126631</v>
      </c>
      <c r="F199" s="270">
        <f t="shared" ref="F199" si="219">(100*(B199/B187-1))</f>
        <v>2.2988505747126631</v>
      </c>
      <c r="G199" s="271">
        <f t="shared" ref="G199" si="220">100*(B199/B175-1)</f>
        <v>8.0971659919028447</v>
      </c>
      <c r="H199" s="174">
        <f t="shared" si="54"/>
        <v>1.0164794007490638</v>
      </c>
    </row>
    <row r="200" spans="1:8" ht="16.5" customHeight="1">
      <c r="A200" s="196" t="str">
        <f>Câmbio!A200</f>
        <v>OUTUBRO|19</v>
      </c>
      <c r="B200" s="266">
        <f>[2]cárter!$B311</f>
        <v>19.071428571428573</v>
      </c>
      <c r="C200" s="197">
        <f t="shared" ref="C200" si="221">100*B200/B$8</f>
        <v>402.35081374321885</v>
      </c>
      <c r="D200" s="269">
        <f t="shared" ref="D200" si="222">100*(B200/B199-1)</f>
        <v>0</v>
      </c>
      <c r="E200" s="269">
        <f t="shared" ref="E200" si="223">100*(B200/B$190-1)</f>
        <v>2.2988505747126631</v>
      </c>
      <c r="F200" s="270">
        <f t="shared" ref="F200" si="224">(100*(B200/B188-1))</f>
        <v>2.2988505747126631</v>
      </c>
      <c r="G200" s="271">
        <f t="shared" ref="G200" si="225">100*(B200/B176-1)</f>
        <v>8.0971659919028447</v>
      </c>
      <c r="H200" s="174">
        <f t="shared" si="54"/>
        <v>1.0164794007490638</v>
      </c>
    </row>
    <row r="201" spans="1:8" ht="16.5" customHeight="1">
      <c r="A201" s="196" t="str">
        <f>Câmbio!A201</f>
        <v>NOVEMBRO|19</v>
      </c>
      <c r="B201" s="266">
        <f>[2]cárter!$B312</f>
        <v>19.071428571428573</v>
      </c>
      <c r="C201" s="197">
        <f t="shared" ref="C201" si="226">100*B201/B$8</f>
        <v>402.35081374321885</v>
      </c>
      <c r="D201" s="269">
        <f t="shared" ref="D201" si="227">100*(B201/B200-1)</f>
        <v>0</v>
      </c>
      <c r="E201" s="269">
        <f t="shared" ref="E201" si="228">100*(B201/B$190-1)</f>
        <v>2.2988505747126631</v>
      </c>
      <c r="F201" s="270">
        <f t="shared" ref="F201" si="229">(100*(B201/B189-1))</f>
        <v>2.2988505747126631</v>
      </c>
      <c r="G201" s="271">
        <f t="shared" ref="G201" si="230">100*(B201/B177-1)</f>
        <v>4.3784206411258797</v>
      </c>
      <c r="H201" s="174">
        <f t="shared" si="54"/>
        <v>1.0164794007490638</v>
      </c>
    </row>
    <row r="202" spans="1:8" ht="16.5" customHeight="1">
      <c r="A202" s="196" t="str">
        <f>Câmbio!A202</f>
        <v>DEZEMBRO|19</v>
      </c>
      <c r="B202" s="266">
        <f>[2]cárter!$B313</f>
        <v>19.071428571428573</v>
      </c>
      <c r="C202" s="197">
        <f t="shared" ref="C202" si="231">100*B202/B$8</f>
        <v>402.35081374321885</v>
      </c>
      <c r="D202" s="269">
        <f t="shared" ref="D202" si="232">100*(B202/B201-1)</f>
        <v>0</v>
      </c>
      <c r="E202" s="269">
        <f t="shared" ref="E202" si="233">100*(B202/B$190-1)</f>
        <v>2.2988505747126631</v>
      </c>
      <c r="F202" s="270">
        <f t="shared" ref="F202" si="234">(100*(B202/B190-1))</f>
        <v>2.2988505747126631</v>
      </c>
      <c r="G202" s="271">
        <f t="shared" ref="G202" si="235">100*(B202/B178-1)</f>
        <v>4.3784206411258797</v>
      </c>
      <c r="H202" s="174">
        <f t="shared" si="54"/>
        <v>1.0164794007490638</v>
      </c>
    </row>
    <row r="203" spans="1:8" ht="16.5" customHeight="1">
      <c r="A203" s="196" t="str">
        <f>Câmbio!A203</f>
        <v>JANEIRO|20</v>
      </c>
      <c r="B203" s="266">
        <f>[2]cárter!$B314</f>
        <v>19.071428571428573</v>
      </c>
      <c r="C203" s="197">
        <f t="shared" ref="C203" si="236">100*B203/B$8</f>
        <v>402.35081374321885</v>
      </c>
      <c r="D203" s="269">
        <f t="shared" ref="D203" si="237">100*(B203/B202-1)</f>
        <v>0</v>
      </c>
      <c r="E203" s="269">
        <f t="shared" ref="E203:E208" si="238">100*(B203/B$202-1)</f>
        <v>0</v>
      </c>
      <c r="F203" s="270">
        <f t="shared" ref="F203" si="239">(100*(B203/B191-1))</f>
        <v>2.2988505747126631</v>
      </c>
      <c r="G203" s="271">
        <f t="shared" ref="G203" si="240">100*(B203/B179-1)</f>
        <v>4.3784206411258797</v>
      </c>
      <c r="H203" s="174">
        <f t="shared" si="54"/>
        <v>1.0164794007490638</v>
      </c>
    </row>
    <row r="204" spans="1:8" ht="16.5" customHeight="1">
      <c r="A204" s="196" t="str">
        <f>Câmbio!A204</f>
        <v>FEVEREIRO|20</v>
      </c>
      <c r="B204" s="266">
        <f>[2]cárter!$B315</f>
        <v>19.38571428571429</v>
      </c>
      <c r="C204" s="197">
        <f t="shared" ref="C204" si="241">100*B204/B$8</f>
        <v>408.98131404460526</v>
      </c>
      <c r="D204" s="269">
        <f t="shared" ref="D204" si="242">100*(B204/B203-1)</f>
        <v>1.6479400749063844</v>
      </c>
      <c r="E204" s="269">
        <f t="shared" si="238"/>
        <v>1.6479400749063844</v>
      </c>
      <c r="F204" s="270">
        <f t="shared" ref="F204" si="243">(100*(B204/B192-1))</f>
        <v>1.6479400749063844</v>
      </c>
      <c r="G204" s="271">
        <f t="shared" ref="G204" si="244">100*(B204/B180-1)</f>
        <v>6.0985144644253531</v>
      </c>
      <c r="H204" s="174">
        <f t="shared" si="54"/>
        <v>1</v>
      </c>
    </row>
    <row r="205" spans="1:8" ht="16.5" customHeight="1">
      <c r="A205" s="196" t="str">
        <f>Câmbio!A205</f>
        <v>MARÇO|20</v>
      </c>
      <c r="B205" s="266">
        <f>[2]cárter!$B316</f>
        <v>19.38571428571429</v>
      </c>
      <c r="C205" s="197">
        <f t="shared" ref="C205" si="245">100*B205/B$8</f>
        <v>408.98131404460526</v>
      </c>
      <c r="D205" s="269">
        <f t="shared" ref="D205" si="246">100*(B205/B204-1)</f>
        <v>0</v>
      </c>
      <c r="E205" s="269">
        <f t="shared" si="238"/>
        <v>1.6479400749063844</v>
      </c>
      <c r="F205" s="270">
        <f t="shared" ref="F205" si="247">(100*(B205/B193-1))</f>
        <v>1.6479400749063844</v>
      </c>
      <c r="G205" s="271">
        <f t="shared" ref="G205" si="248">100*(B205/B181-1)</f>
        <v>6.0985144644253531</v>
      </c>
      <c r="H205" s="174">
        <f t="shared" si="54"/>
        <v>1</v>
      </c>
    </row>
    <row r="206" spans="1:8" ht="16.5" customHeight="1">
      <c r="A206" s="196" t="str">
        <f>Câmbio!A206</f>
        <v>ABRIL|20</v>
      </c>
      <c r="B206" s="266">
        <f>[2]cárter!$B317</f>
        <v>19.38571428571429</v>
      </c>
      <c r="C206" s="197">
        <f t="shared" ref="C206" si="249">100*B206/B$8</f>
        <v>408.98131404460526</v>
      </c>
      <c r="D206" s="269">
        <f t="shared" ref="D206" si="250">100*(B206/B205-1)</f>
        <v>0</v>
      </c>
      <c r="E206" s="269">
        <f t="shared" si="238"/>
        <v>1.6479400749063844</v>
      </c>
      <c r="F206" s="270">
        <f t="shared" ref="F206" si="251">(100*(B206/B194-1))</f>
        <v>1.6479400749063844</v>
      </c>
      <c r="G206" s="271">
        <f t="shared" ref="G206" si="252">100*(B206/B182-1)</f>
        <v>6.0985144644253531</v>
      </c>
      <c r="H206" s="174">
        <f t="shared" si="54"/>
        <v>1</v>
      </c>
    </row>
    <row r="207" spans="1:8" ht="16.5" customHeight="1">
      <c r="A207" s="196" t="str">
        <f>Câmbio!A207</f>
        <v>MAIO|20</v>
      </c>
      <c r="B207" s="266">
        <f>[2]cárter!$B318</f>
        <v>19.38571428571429</v>
      </c>
      <c r="C207" s="197">
        <f t="shared" ref="C207" si="253">100*B207/B$8</f>
        <v>408.98131404460526</v>
      </c>
      <c r="D207" s="269">
        <f t="shared" ref="D207" si="254">100*(B207/B206-1)</f>
        <v>0</v>
      </c>
      <c r="E207" s="269">
        <f t="shared" si="238"/>
        <v>1.6479400749063844</v>
      </c>
      <c r="F207" s="270">
        <f t="shared" ref="F207" si="255">(100*(B207/B195-1))</f>
        <v>1.6479400749063844</v>
      </c>
      <c r="G207" s="271">
        <f t="shared" ref="G207" si="256">100*(B207/B183-1)</f>
        <v>6.0985144644253531</v>
      </c>
      <c r="H207" s="174">
        <f t="shared" si="54"/>
        <v>1</v>
      </c>
    </row>
    <row r="208" spans="1:8" ht="16.5" customHeight="1">
      <c r="A208" s="196" t="str">
        <f>Câmbio!A208</f>
        <v>JUNHO|20</v>
      </c>
      <c r="B208" s="266">
        <f>[2]cárter!$B319</f>
        <v>19.38571428571429</v>
      </c>
      <c r="C208" s="197">
        <f t="shared" ref="C208" si="257">100*B208/B$8</f>
        <v>408.98131404460526</v>
      </c>
      <c r="D208" s="269">
        <f t="shared" ref="D208" si="258">100*(B208/B207-1)</f>
        <v>0</v>
      </c>
      <c r="E208" s="269">
        <f t="shared" si="238"/>
        <v>1.6479400749063844</v>
      </c>
      <c r="F208" s="270">
        <f t="shared" ref="F208" si="259">(100*(B208/B196-1))</f>
        <v>1.6479400749063844</v>
      </c>
      <c r="G208" s="271">
        <f t="shared" ref="G208" si="260">100*(B208/B184-1)</f>
        <v>3.984674329501936</v>
      </c>
      <c r="H208" s="174">
        <f t="shared" si="54"/>
        <v>1</v>
      </c>
    </row>
    <row r="209" spans="1:8" ht="16.5" customHeight="1">
      <c r="A209" s="196" t="str">
        <f>Câmbio!A209</f>
        <v>JULHO|20</v>
      </c>
      <c r="B209" s="266">
        <f>[2]cárter!$B320</f>
        <v>19.38571428571429</v>
      </c>
      <c r="C209" s="197">
        <f t="shared" ref="C209" si="261">100*B209/B$8</f>
        <v>408.98131404460526</v>
      </c>
      <c r="D209" s="269">
        <f t="shared" ref="D209" si="262">100*(B209/B208-1)</f>
        <v>0</v>
      </c>
      <c r="E209" s="269">
        <f t="shared" ref="E209" si="263">100*(B209/B$202-1)</f>
        <v>1.6479400749063844</v>
      </c>
      <c r="F209" s="270">
        <f t="shared" ref="F209" si="264">(100*(B209/B197-1))</f>
        <v>1.6479400749063844</v>
      </c>
      <c r="G209" s="271">
        <f t="shared" ref="G209" si="265">100*(B209/B185-1)</f>
        <v>3.984674329501936</v>
      </c>
      <c r="H209" s="174">
        <f t="shared" si="54"/>
        <v>1</v>
      </c>
    </row>
    <row r="210" spans="1:8" ht="16.5" customHeight="1">
      <c r="A210" s="196" t="str">
        <f>Câmbio!A210</f>
        <v>AGOSTO|20</v>
      </c>
      <c r="B210" s="266">
        <f>[2]cárter!$B321</f>
        <v>19.38571428571429</v>
      </c>
      <c r="C210" s="197">
        <f t="shared" ref="C210" si="266">100*B210/B$8</f>
        <v>408.98131404460526</v>
      </c>
      <c r="D210" s="269">
        <f t="shared" ref="D210" si="267">100*(B210/B209-1)</f>
        <v>0</v>
      </c>
      <c r="E210" s="269">
        <f t="shared" ref="E210" si="268">100*(B210/B$202-1)</f>
        <v>1.6479400749063844</v>
      </c>
      <c r="F210" s="270">
        <f t="shared" ref="F210" si="269">(100*(B210/B198-1))</f>
        <v>1.6479400749063844</v>
      </c>
      <c r="G210" s="271">
        <f t="shared" ref="G210" si="270">100*(B210/B186-1)</f>
        <v>3.984674329501936</v>
      </c>
      <c r="H210" s="268">
        <f t="shared" si="54"/>
        <v>1</v>
      </c>
    </row>
    <row r="211" spans="1:8" ht="16.5" customHeight="1" thickBot="1">
      <c r="A211" s="151" t="str">
        <f>Câmbio!A211</f>
        <v>SETEMBRO|20</v>
      </c>
      <c r="B211" s="181">
        <f>[2]cárter!$B322</f>
        <v>19.38571428571429</v>
      </c>
      <c r="C211" s="153">
        <f t="shared" ref="C211" si="271">100*B211/B$8</f>
        <v>408.98131404460526</v>
      </c>
      <c r="D211" s="186">
        <f t="shared" ref="D211" si="272">100*(B211/B210-1)</f>
        <v>0</v>
      </c>
      <c r="E211" s="186">
        <f t="shared" ref="E211" si="273">100*(B211/B$202-1)</f>
        <v>1.6479400749063844</v>
      </c>
      <c r="F211" s="187">
        <f t="shared" ref="F211" si="274">(100*(B211/B199-1))</f>
        <v>1.6479400749063844</v>
      </c>
      <c r="G211" s="188">
        <f t="shared" ref="G211" si="275">100*(B211/B187-1)</f>
        <v>3.984674329501936</v>
      </c>
      <c r="H211" s="157">
        <f t="shared" si="54"/>
        <v>1</v>
      </c>
    </row>
    <row r="212" spans="1:8">
      <c r="A212" s="103" t="s">
        <v>18</v>
      </c>
      <c r="B212" s="104"/>
      <c r="C212" s="104"/>
      <c r="D212" s="104"/>
      <c r="E212" s="104"/>
      <c r="F212" s="104"/>
      <c r="G212" s="104"/>
      <c r="H212" s="104"/>
    </row>
    <row r="213" spans="1:8">
      <c r="B213" s="104"/>
      <c r="C213" s="104"/>
      <c r="D213" s="104"/>
      <c r="E213" s="104"/>
      <c r="F213" s="104"/>
      <c r="G213" s="104"/>
      <c r="H213" s="104"/>
    </row>
    <row r="214" spans="1:8">
      <c r="A214" s="105"/>
      <c r="B214" s="104"/>
      <c r="C214" s="104"/>
      <c r="D214" s="104"/>
      <c r="E214" s="104"/>
      <c r="F214" s="104"/>
      <c r="G214" s="104"/>
      <c r="H214" s="104"/>
    </row>
    <row r="215" spans="1:8">
      <c r="B215" s="104"/>
      <c r="C215" s="104"/>
      <c r="D215" s="104"/>
      <c r="E215" s="104"/>
      <c r="F215" s="104"/>
      <c r="G215" s="104"/>
      <c r="H215" s="104"/>
    </row>
    <row r="216" spans="1:8">
      <c r="B216" s="104"/>
      <c r="C216" s="104"/>
      <c r="D216" s="104"/>
      <c r="E216" s="104"/>
      <c r="F216" s="104"/>
      <c r="G216" s="104"/>
      <c r="H216" s="104"/>
    </row>
    <row r="217" spans="1:8">
      <c r="A217" s="106"/>
      <c r="B217" s="104"/>
      <c r="C217" s="104"/>
      <c r="D217" s="104"/>
      <c r="E217" s="104"/>
      <c r="F217" s="104"/>
      <c r="G217" s="104"/>
      <c r="H217" s="104"/>
    </row>
    <row r="218" spans="1:8">
      <c r="A218" s="106"/>
      <c r="B218" s="107"/>
      <c r="C218" s="107"/>
      <c r="D218" s="108"/>
      <c r="E218" s="107"/>
      <c r="F218" s="104"/>
      <c r="G218" s="104"/>
      <c r="H218" s="104"/>
    </row>
    <row r="219" spans="1:8">
      <c r="B219" s="104"/>
      <c r="C219" s="104"/>
      <c r="D219" s="104"/>
      <c r="E219" s="104"/>
      <c r="F219" s="104"/>
      <c r="G219" s="104"/>
      <c r="H219" s="104"/>
    </row>
    <row r="220" spans="1:8">
      <c r="B220" s="104"/>
      <c r="C220" s="104"/>
      <c r="D220" s="104"/>
      <c r="E220" s="104"/>
      <c r="F220" s="104"/>
      <c r="G220" s="104"/>
      <c r="H220" s="104"/>
    </row>
    <row r="221" spans="1:8">
      <c r="B221" s="104"/>
      <c r="C221" s="104"/>
      <c r="D221" s="104"/>
      <c r="E221" s="104"/>
      <c r="F221" s="104"/>
      <c r="G221" s="104"/>
      <c r="H221" s="104"/>
    </row>
    <row r="222" spans="1:8">
      <c r="B222" s="104"/>
      <c r="C222" s="104"/>
      <c r="D222" s="104"/>
      <c r="E222" s="104"/>
      <c r="F222" s="104"/>
      <c r="G222" s="104"/>
      <c r="H222" s="104"/>
    </row>
    <row r="223" spans="1:8">
      <c r="B223" s="104"/>
      <c r="C223" s="104"/>
      <c r="D223" s="104"/>
      <c r="E223" s="104"/>
      <c r="F223" s="104"/>
      <c r="G223" s="104"/>
      <c r="H223" s="104"/>
    </row>
    <row r="224" spans="1:8">
      <c r="B224" s="104"/>
      <c r="C224" s="104"/>
      <c r="D224" s="104"/>
      <c r="E224" s="104"/>
      <c r="F224" s="104"/>
      <c r="G224" s="104"/>
      <c r="H224" s="104"/>
    </row>
    <row r="225" spans="1:8">
      <c r="B225" s="104"/>
      <c r="C225" s="104"/>
      <c r="D225" s="104"/>
      <c r="E225" s="104"/>
      <c r="F225" s="104"/>
      <c r="G225" s="104"/>
      <c r="H225" s="104"/>
    </row>
    <row r="226" spans="1:8">
      <c r="B226" s="104"/>
      <c r="C226" s="104"/>
      <c r="D226" s="104"/>
      <c r="E226" s="104"/>
      <c r="F226" s="104"/>
      <c r="G226" s="104"/>
      <c r="H226" s="104"/>
    </row>
    <row r="227" spans="1:8">
      <c r="B227" s="104"/>
      <c r="C227" s="104"/>
      <c r="D227" s="104"/>
      <c r="E227" s="104"/>
      <c r="F227" s="104"/>
      <c r="G227" s="104"/>
      <c r="H227" s="104"/>
    </row>
    <row r="228" spans="1:8">
      <c r="B228" s="104"/>
      <c r="C228" s="104"/>
      <c r="D228" s="104"/>
      <c r="E228" s="104"/>
      <c r="F228" s="104"/>
      <c r="G228" s="104"/>
      <c r="H228" s="104"/>
    </row>
    <row r="229" spans="1:8">
      <c r="B229" s="104"/>
      <c r="C229" s="104"/>
      <c r="D229" s="104"/>
      <c r="E229" s="104"/>
      <c r="F229" s="104"/>
      <c r="G229" s="104"/>
      <c r="H229" s="104"/>
    </row>
    <row r="230" spans="1:8">
      <c r="B230" s="104"/>
      <c r="C230" s="104"/>
      <c r="D230" s="104"/>
      <c r="E230" s="104"/>
      <c r="F230" s="104"/>
      <c r="G230" s="104"/>
      <c r="H230" s="104"/>
    </row>
    <row r="231" spans="1:8">
      <c r="A231" s="105"/>
      <c r="B231" s="104"/>
      <c r="C231" s="104"/>
      <c r="D231" s="104"/>
      <c r="E231" s="104"/>
      <c r="F231" s="104"/>
      <c r="G231" s="104"/>
      <c r="H231" s="104"/>
    </row>
    <row r="232" spans="1:8">
      <c r="B232" s="104"/>
      <c r="C232" s="104"/>
      <c r="D232" s="104"/>
      <c r="E232" s="104"/>
      <c r="F232" s="104"/>
      <c r="G232" s="104"/>
      <c r="H232" s="104"/>
    </row>
    <row r="233" spans="1:8">
      <c r="B233" s="104"/>
      <c r="C233" s="104"/>
      <c r="D233" s="104"/>
      <c r="E233" s="104"/>
      <c r="F233" s="104"/>
      <c r="G233" s="104"/>
      <c r="H233" s="104"/>
    </row>
    <row r="234" spans="1:8">
      <c r="A234" s="106"/>
      <c r="B234" s="104"/>
      <c r="C234" s="104"/>
      <c r="D234" s="104"/>
      <c r="E234" s="104"/>
      <c r="F234" s="104"/>
      <c r="G234" s="104"/>
      <c r="H234" s="104"/>
    </row>
    <row r="235" spans="1:8">
      <c r="A235" s="106"/>
      <c r="B235" s="107"/>
      <c r="C235" s="107"/>
      <c r="D235" s="108"/>
      <c r="E235" s="107"/>
      <c r="F235" s="104"/>
      <c r="G235" s="104"/>
      <c r="H235" s="104"/>
    </row>
    <row r="236" spans="1:8">
      <c r="B236" s="104"/>
      <c r="C236" s="104"/>
      <c r="D236" s="104"/>
      <c r="E236" s="104"/>
      <c r="F236" s="104"/>
      <c r="G236" s="104"/>
      <c r="H236" s="104"/>
    </row>
    <row r="237" spans="1:8">
      <c r="B237" s="104"/>
      <c r="C237" s="104"/>
      <c r="D237" s="104"/>
      <c r="E237" s="104"/>
      <c r="F237" s="104"/>
      <c r="G237" s="104"/>
      <c r="H237" s="104"/>
    </row>
    <row r="238" spans="1:8">
      <c r="B238" s="104"/>
      <c r="C238" s="104"/>
      <c r="D238" s="104"/>
      <c r="E238" s="104"/>
      <c r="F238" s="104"/>
      <c r="G238" s="104"/>
      <c r="H238" s="104"/>
    </row>
    <row r="239" spans="1:8">
      <c r="B239" s="104"/>
      <c r="C239" s="104"/>
      <c r="D239" s="104"/>
      <c r="E239" s="104"/>
      <c r="F239" s="104"/>
      <c r="G239" s="104"/>
      <c r="H239" s="104"/>
    </row>
    <row r="240" spans="1:8">
      <c r="B240" s="104"/>
      <c r="C240" s="104"/>
      <c r="D240" s="104"/>
      <c r="E240" s="104"/>
      <c r="F240" s="104"/>
      <c r="G240" s="104"/>
      <c r="H240" s="104"/>
    </row>
    <row r="241" spans="1:8">
      <c r="B241" s="104"/>
      <c r="C241" s="104"/>
      <c r="D241" s="104"/>
      <c r="E241" s="104"/>
      <c r="F241" s="104"/>
      <c r="G241" s="104"/>
      <c r="H241" s="104"/>
    </row>
    <row r="242" spans="1:8">
      <c r="B242" s="104"/>
      <c r="C242" s="104"/>
      <c r="D242" s="104"/>
      <c r="E242" s="104"/>
      <c r="F242" s="104"/>
      <c r="G242" s="104"/>
      <c r="H242" s="104"/>
    </row>
    <row r="243" spans="1:8">
      <c r="B243" s="104"/>
      <c r="C243" s="104"/>
      <c r="D243" s="104"/>
      <c r="E243" s="104"/>
      <c r="F243" s="104"/>
      <c r="G243" s="104"/>
      <c r="H243" s="104"/>
    </row>
    <row r="244" spans="1:8">
      <c r="B244" s="104"/>
      <c r="C244" s="104"/>
      <c r="D244" s="104"/>
      <c r="E244" s="104"/>
      <c r="F244" s="104"/>
      <c r="G244" s="104"/>
      <c r="H244" s="104"/>
    </row>
    <row r="245" spans="1:8">
      <c r="B245" s="104"/>
      <c r="C245" s="104"/>
      <c r="D245" s="104"/>
      <c r="E245" s="104"/>
      <c r="F245" s="104"/>
      <c r="G245" s="104"/>
      <c r="H245" s="104"/>
    </row>
    <row r="246" spans="1:8">
      <c r="B246" s="104"/>
      <c r="C246" s="104"/>
      <c r="D246" s="104"/>
      <c r="E246" s="104"/>
      <c r="F246" s="104"/>
      <c r="G246" s="104"/>
      <c r="H246" s="104"/>
    </row>
    <row r="247" spans="1:8">
      <c r="B247" s="104"/>
      <c r="C247" s="104"/>
      <c r="D247" s="104"/>
      <c r="E247" s="104"/>
      <c r="F247" s="104"/>
      <c r="G247" s="104"/>
      <c r="H247" s="104"/>
    </row>
    <row r="248" spans="1:8">
      <c r="A248" s="105"/>
      <c r="B248" s="104"/>
      <c r="C248" s="104"/>
      <c r="D248" s="104"/>
      <c r="E248" s="104"/>
      <c r="F248" s="104"/>
      <c r="G248" s="104"/>
      <c r="H248" s="104"/>
    </row>
    <row r="249" spans="1:8">
      <c r="B249" s="104"/>
      <c r="C249" s="104"/>
      <c r="D249" s="104"/>
      <c r="E249" s="104"/>
      <c r="F249" s="104"/>
      <c r="G249" s="104"/>
      <c r="H249" s="104"/>
    </row>
    <row r="250" spans="1:8">
      <c r="B250" s="104"/>
      <c r="C250" s="104"/>
      <c r="D250" s="104"/>
      <c r="E250" s="104"/>
      <c r="F250" s="104"/>
      <c r="G250" s="104"/>
      <c r="H250" s="104"/>
    </row>
    <row r="251" spans="1:8">
      <c r="B251" s="104"/>
      <c r="C251" s="104"/>
      <c r="D251" s="104"/>
      <c r="E251" s="104"/>
      <c r="F251" s="104"/>
      <c r="G251" s="104"/>
      <c r="H251" s="104"/>
    </row>
    <row r="252" spans="1:8">
      <c r="B252" s="104"/>
      <c r="C252" s="104"/>
      <c r="D252" s="104"/>
      <c r="E252" s="104"/>
      <c r="F252" s="104"/>
      <c r="G252" s="104"/>
      <c r="H252" s="104"/>
    </row>
    <row r="253" spans="1:8">
      <c r="B253" s="104"/>
      <c r="C253" s="104"/>
      <c r="D253" s="104"/>
      <c r="E253" s="104"/>
      <c r="F253" s="104"/>
      <c r="G253" s="104"/>
      <c r="H253" s="104"/>
    </row>
    <row r="254" spans="1:8">
      <c r="B254" s="104"/>
      <c r="C254" s="104"/>
      <c r="D254" s="104"/>
      <c r="E254" s="104"/>
      <c r="F254" s="104"/>
      <c r="G254" s="104"/>
      <c r="H254" s="104"/>
    </row>
    <row r="255" spans="1:8">
      <c r="B255" s="104"/>
      <c r="C255" s="104"/>
      <c r="D255" s="104"/>
      <c r="E255" s="104"/>
      <c r="F255" s="104"/>
      <c r="G255" s="104"/>
      <c r="H255" s="104"/>
    </row>
    <row r="256" spans="1:8">
      <c r="B256" s="104"/>
      <c r="C256" s="104"/>
      <c r="D256" s="104"/>
      <c r="E256" s="104"/>
      <c r="F256" s="104"/>
      <c r="G256" s="104"/>
      <c r="H256" s="104"/>
    </row>
    <row r="257" spans="1:8">
      <c r="B257" s="104"/>
      <c r="C257" s="104"/>
      <c r="D257" s="104"/>
      <c r="E257" s="104"/>
      <c r="F257" s="104"/>
      <c r="G257" s="104"/>
      <c r="H257" s="104"/>
    </row>
    <row r="258" spans="1:8">
      <c r="B258" s="104"/>
      <c r="C258" s="104"/>
      <c r="D258" s="104"/>
      <c r="E258" s="104"/>
      <c r="F258" s="104"/>
      <c r="G258" s="104"/>
      <c r="H258" s="104"/>
    </row>
    <row r="259" spans="1:8">
      <c r="B259" s="104"/>
      <c r="C259" s="104"/>
      <c r="D259" s="104"/>
      <c r="E259" s="104"/>
      <c r="F259" s="104"/>
      <c r="G259" s="104"/>
      <c r="H259" s="104"/>
    </row>
    <row r="260" spans="1:8">
      <c r="B260" s="104"/>
      <c r="C260" s="104"/>
      <c r="D260" s="104"/>
      <c r="E260" s="104"/>
      <c r="F260" s="104"/>
      <c r="G260" s="104"/>
      <c r="H260" s="104"/>
    </row>
    <row r="261" spans="1:8">
      <c r="B261" s="104"/>
      <c r="C261" s="104"/>
      <c r="D261" s="104"/>
      <c r="E261" s="104"/>
      <c r="F261" s="104"/>
      <c r="G261" s="104"/>
      <c r="H261" s="104"/>
    </row>
    <row r="262" spans="1:8">
      <c r="B262" s="104"/>
      <c r="C262" s="104"/>
      <c r="D262" s="104"/>
      <c r="E262" s="104"/>
      <c r="F262" s="104"/>
      <c r="G262" s="104"/>
      <c r="H262" s="104"/>
    </row>
    <row r="263" spans="1:8">
      <c r="B263" s="104"/>
      <c r="C263" s="104"/>
      <c r="D263" s="104"/>
      <c r="E263" s="104"/>
      <c r="F263" s="104"/>
      <c r="G263" s="104"/>
      <c r="H263" s="104"/>
    </row>
    <row r="264" spans="1:8">
      <c r="A264" s="62"/>
      <c r="B264" s="104"/>
      <c r="C264" s="104"/>
      <c r="D264" s="104"/>
      <c r="E264" s="104"/>
      <c r="F264" s="104"/>
      <c r="G264" s="104"/>
      <c r="H264" s="104"/>
    </row>
    <row r="265" spans="1:8">
      <c r="A265" s="62"/>
      <c r="B265" s="104"/>
      <c r="C265" s="104"/>
      <c r="D265" s="104"/>
      <c r="E265" s="104"/>
      <c r="F265" s="104"/>
      <c r="G265" s="104"/>
      <c r="H265" s="104"/>
    </row>
    <row r="266" spans="1:8">
      <c r="A266" s="62"/>
      <c r="B266" s="104"/>
      <c r="C266" s="104"/>
      <c r="D266" s="104"/>
      <c r="E266" s="104"/>
      <c r="F266" s="104"/>
      <c r="G266" s="104"/>
      <c r="H266" s="104"/>
    </row>
    <row r="267" spans="1:8">
      <c r="A267" s="62"/>
      <c r="B267" s="104"/>
      <c r="C267" s="104"/>
      <c r="D267" s="104"/>
      <c r="E267" s="104"/>
      <c r="F267" s="104"/>
      <c r="G267" s="104"/>
      <c r="H267" s="104"/>
    </row>
    <row r="268" spans="1:8">
      <c r="A268" s="62"/>
      <c r="B268" s="104"/>
      <c r="C268" s="104"/>
      <c r="D268" s="104"/>
      <c r="E268" s="104"/>
      <c r="F268" s="104"/>
      <c r="G268" s="104"/>
      <c r="H268" s="104"/>
    </row>
    <row r="269" spans="1:8">
      <c r="A269" s="62"/>
      <c r="B269" s="104"/>
      <c r="C269" s="104"/>
      <c r="D269" s="104"/>
      <c r="E269" s="104"/>
      <c r="F269" s="104"/>
      <c r="G269" s="104"/>
      <c r="H269" s="104"/>
    </row>
    <row r="270" spans="1:8">
      <c r="A270" s="62"/>
      <c r="B270" s="104"/>
      <c r="C270" s="104"/>
      <c r="D270" s="104"/>
      <c r="E270" s="104"/>
      <c r="F270" s="104"/>
      <c r="G270" s="104"/>
      <c r="H270" s="104"/>
    </row>
    <row r="271" spans="1:8">
      <c r="A271" s="62"/>
      <c r="B271" s="104"/>
      <c r="C271" s="104"/>
      <c r="D271" s="104"/>
      <c r="E271" s="104"/>
      <c r="F271" s="104"/>
      <c r="G271" s="104"/>
      <c r="H271" s="104"/>
    </row>
    <row r="272" spans="1:8">
      <c r="A272" s="62"/>
      <c r="B272" s="104"/>
      <c r="C272" s="104"/>
      <c r="D272" s="104"/>
      <c r="E272" s="104"/>
      <c r="F272" s="104"/>
      <c r="G272" s="104"/>
      <c r="H272" s="104"/>
    </row>
    <row r="273" spans="1:8">
      <c r="A273" s="62"/>
      <c r="B273" s="104"/>
      <c r="C273" s="104"/>
      <c r="D273" s="104"/>
      <c r="E273" s="104"/>
      <c r="F273" s="104"/>
      <c r="G273" s="104"/>
      <c r="H273" s="104"/>
    </row>
    <row r="274" spans="1:8">
      <c r="A274" s="62"/>
      <c r="B274" s="104"/>
      <c r="C274" s="104"/>
      <c r="D274" s="104"/>
      <c r="E274" s="104"/>
      <c r="F274" s="104"/>
      <c r="G274" s="104"/>
      <c r="H274" s="104"/>
    </row>
    <row r="275" spans="1:8">
      <c r="A275" s="62"/>
      <c r="B275" s="104"/>
      <c r="C275" s="104"/>
      <c r="D275" s="104"/>
      <c r="E275" s="104"/>
      <c r="F275" s="104"/>
      <c r="G275" s="104"/>
      <c r="H275" s="104"/>
    </row>
    <row r="276" spans="1:8">
      <c r="A276" s="62"/>
      <c r="B276" s="104"/>
      <c r="C276" s="104"/>
      <c r="D276" s="104"/>
      <c r="E276" s="104"/>
      <c r="F276" s="104"/>
      <c r="G276" s="104"/>
      <c r="H276" s="104"/>
    </row>
    <row r="277" spans="1:8">
      <c r="A277" s="62"/>
      <c r="B277" s="104"/>
      <c r="C277" s="104"/>
      <c r="D277" s="104"/>
      <c r="E277" s="104"/>
      <c r="F277" s="104"/>
      <c r="G277" s="104"/>
      <c r="H277" s="104"/>
    </row>
    <row r="278" spans="1:8">
      <c r="A278" s="62"/>
      <c r="B278" s="104"/>
      <c r="C278" s="104"/>
      <c r="D278" s="104"/>
      <c r="E278" s="104"/>
      <c r="F278" s="104"/>
      <c r="G278" s="104"/>
      <c r="H278" s="104"/>
    </row>
    <row r="279" spans="1:8">
      <c r="A279" s="62"/>
      <c r="B279" s="104"/>
      <c r="C279" s="104"/>
      <c r="D279" s="104"/>
      <c r="E279" s="104"/>
      <c r="F279" s="104"/>
      <c r="G279" s="104"/>
      <c r="H279" s="104"/>
    </row>
    <row r="280" spans="1:8">
      <c r="A280" s="62"/>
      <c r="B280" s="104"/>
      <c r="C280" s="104"/>
      <c r="D280" s="104"/>
      <c r="E280" s="104"/>
      <c r="F280" s="104"/>
      <c r="G280" s="104"/>
      <c r="H280" s="104"/>
    </row>
    <row r="281" spans="1:8">
      <c r="A281" s="62"/>
      <c r="B281" s="104"/>
      <c r="C281" s="104"/>
      <c r="D281" s="104"/>
      <c r="E281" s="104"/>
      <c r="F281" s="104"/>
      <c r="G281" s="104"/>
      <c r="H281" s="104"/>
    </row>
    <row r="282" spans="1:8">
      <c r="A282" s="62"/>
      <c r="B282" s="104"/>
      <c r="C282" s="104"/>
      <c r="D282" s="104"/>
      <c r="E282" s="104"/>
      <c r="F282" s="104"/>
      <c r="G282" s="104"/>
      <c r="H282" s="104"/>
    </row>
    <row r="283" spans="1:8">
      <c r="A283" s="62"/>
      <c r="B283" s="104"/>
      <c r="C283" s="104"/>
      <c r="D283" s="104"/>
      <c r="E283" s="104"/>
      <c r="F283" s="104"/>
      <c r="G283" s="104"/>
      <c r="H283" s="104"/>
    </row>
    <row r="284" spans="1:8">
      <c r="A284" s="62"/>
      <c r="B284" s="104"/>
      <c r="C284" s="104"/>
      <c r="D284" s="104"/>
      <c r="E284" s="104"/>
      <c r="F284" s="104"/>
      <c r="G284" s="104"/>
      <c r="H284" s="104"/>
    </row>
    <row r="285" spans="1:8">
      <c r="A285" s="62"/>
      <c r="B285" s="104"/>
      <c r="C285" s="104"/>
      <c r="D285" s="104"/>
      <c r="E285" s="104"/>
      <c r="F285" s="104"/>
      <c r="G285" s="104"/>
      <c r="H285" s="104"/>
    </row>
    <row r="286" spans="1:8">
      <c r="A286" s="62"/>
      <c r="B286" s="104"/>
      <c r="C286" s="104"/>
      <c r="D286" s="104"/>
      <c r="E286" s="104"/>
      <c r="F286" s="104"/>
      <c r="G286" s="104"/>
      <c r="H286" s="104"/>
    </row>
    <row r="287" spans="1:8">
      <c r="A287" s="62"/>
      <c r="B287" s="104"/>
      <c r="C287" s="104"/>
      <c r="D287" s="104"/>
      <c r="E287" s="104"/>
      <c r="F287" s="104"/>
      <c r="G287" s="104"/>
      <c r="H287" s="104"/>
    </row>
    <row r="288" spans="1:8">
      <c r="A288" s="62"/>
      <c r="B288" s="104"/>
      <c r="C288" s="104"/>
      <c r="D288" s="104"/>
      <c r="E288" s="104"/>
      <c r="F288" s="104"/>
      <c r="G288" s="104"/>
      <c r="H288" s="104"/>
    </row>
    <row r="289" spans="1:8">
      <c r="A289" s="62"/>
      <c r="B289" s="104"/>
      <c r="C289" s="104"/>
      <c r="D289" s="104"/>
      <c r="E289" s="104"/>
      <c r="F289" s="104"/>
      <c r="G289" s="104"/>
      <c r="H289" s="104"/>
    </row>
    <row r="290" spans="1:8">
      <c r="A290" s="62"/>
      <c r="B290" s="104"/>
      <c r="C290" s="104"/>
      <c r="D290" s="104"/>
      <c r="E290" s="104"/>
      <c r="F290" s="104"/>
      <c r="G290" s="104"/>
      <c r="H290" s="104"/>
    </row>
    <row r="291" spans="1:8">
      <c r="A291" s="62"/>
      <c r="B291" s="104"/>
      <c r="C291" s="104"/>
      <c r="D291" s="104"/>
      <c r="E291" s="104"/>
      <c r="F291" s="104"/>
      <c r="G291" s="104"/>
      <c r="H291" s="104"/>
    </row>
    <row r="292" spans="1:8">
      <c r="A292" s="62"/>
      <c r="B292" s="104"/>
      <c r="C292" s="104"/>
      <c r="D292" s="104"/>
      <c r="E292" s="104"/>
      <c r="F292" s="104"/>
      <c r="G292" s="104"/>
      <c r="H292" s="104"/>
    </row>
    <row r="293" spans="1:8">
      <c r="A293" s="62"/>
      <c r="B293" s="104"/>
      <c r="C293" s="104"/>
      <c r="D293" s="104"/>
      <c r="E293" s="104"/>
      <c r="F293" s="104"/>
      <c r="G293" s="104"/>
      <c r="H293" s="104"/>
    </row>
    <row r="294" spans="1:8">
      <c r="A294" s="62"/>
      <c r="B294" s="104"/>
      <c r="C294" s="104"/>
      <c r="D294" s="104"/>
      <c r="E294" s="104"/>
      <c r="F294" s="104"/>
      <c r="G294" s="104"/>
      <c r="H294" s="104"/>
    </row>
    <row r="295" spans="1:8">
      <c r="A295" s="62"/>
      <c r="B295" s="104"/>
      <c r="C295" s="104"/>
      <c r="D295" s="104"/>
      <c r="E295" s="104"/>
      <c r="F295" s="104"/>
      <c r="G295" s="104"/>
      <c r="H295" s="104"/>
    </row>
    <row r="296" spans="1:8">
      <c r="A296" s="62"/>
      <c r="B296" s="104"/>
      <c r="C296" s="104"/>
      <c r="D296" s="104"/>
      <c r="E296" s="104"/>
      <c r="F296" s="104"/>
      <c r="G296" s="104"/>
      <c r="H296" s="104"/>
    </row>
    <row r="297" spans="1:8">
      <c r="A297" s="62"/>
      <c r="B297" s="104"/>
      <c r="C297" s="104"/>
      <c r="D297" s="104"/>
      <c r="E297" s="104"/>
      <c r="F297" s="104"/>
      <c r="G297" s="104"/>
      <c r="H297" s="104"/>
    </row>
    <row r="298" spans="1:8">
      <c r="A298" s="62"/>
      <c r="B298" s="104"/>
      <c r="C298" s="104"/>
      <c r="D298" s="104"/>
      <c r="E298" s="104"/>
      <c r="F298" s="104"/>
      <c r="G298" s="104"/>
      <c r="H298" s="104"/>
    </row>
    <row r="299" spans="1:8">
      <c r="A299" s="62"/>
      <c r="B299" s="104"/>
      <c r="C299" s="104"/>
      <c r="D299" s="104"/>
      <c r="E299" s="104"/>
      <c r="F299" s="104"/>
      <c r="G299" s="104"/>
      <c r="H299" s="104"/>
    </row>
    <row r="300" spans="1:8">
      <c r="A300" s="62"/>
      <c r="B300" s="104"/>
      <c r="C300" s="104"/>
      <c r="D300" s="104"/>
      <c r="E300" s="104"/>
      <c r="F300" s="104"/>
      <c r="G300" s="104"/>
      <c r="H300" s="104"/>
    </row>
    <row r="301" spans="1:8">
      <c r="A301" s="62"/>
      <c r="B301" s="104"/>
      <c r="C301" s="104"/>
      <c r="D301" s="104"/>
      <c r="E301" s="104"/>
      <c r="F301" s="104"/>
      <c r="G301" s="104"/>
      <c r="H301" s="104"/>
    </row>
    <row r="302" spans="1:8">
      <c r="A302" s="62"/>
      <c r="B302" s="104"/>
      <c r="C302" s="104"/>
      <c r="D302" s="104"/>
      <c r="E302" s="104"/>
      <c r="F302" s="104"/>
      <c r="G302" s="104"/>
      <c r="H302" s="104"/>
    </row>
    <row r="303" spans="1:8">
      <c r="A303" s="62"/>
      <c r="B303" s="104"/>
      <c r="C303" s="104"/>
      <c r="D303" s="104"/>
      <c r="E303" s="104"/>
      <c r="F303" s="104"/>
      <c r="G303" s="104"/>
      <c r="H303" s="104"/>
    </row>
    <row r="304" spans="1:8">
      <c r="A304" s="62"/>
      <c r="B304" s="104"/>
      <c r="C304" s="104"/>
      <c r="D304" s="104"/>
      <c r="E304" s="104"/>
      <c r="F304" s="104"/>
      <c r="G304" s="104"/>
      <c r="H304" s="104"/>
    </row>
    <row r="305" spans="1:8">
      <c r="A305" s="62"/>
      <c r="B305" s="104"/>
      <c r="C305" s="104"/>
      <c r="D305" s="104"/>
      <c r="E305" s="104"/>
      <c r="F305" s="104"/>
      <c r="G305" s="104"/>
      <c r="H305" s="104"/>
    </row>
    <row r="306" spans="1:8">
      <c r="A306" s="62"/>
      <c r="B306" s="104"/>
      <c r="C306" s="104"/>
      <c r="D306" s="104"/>
      <c r="E306" s="104"/>
      <c r="F306" s="104"/>
      <c r="G306" s="104"/>
      <c r="H306" s="104"/>
    </row>
    <row r="307" spans="1:8">
      <c r="A307" s="62"/>
      <c r="B307" s="104"/>
      <c r="C307" s="104"/>
      <c r="D307" s="104"/>
      <c r="E307" s="104"/>
      <c r="F307" s="104"/>
      <c r="G307" s="104"/>
      <c r="H307" s="104"/>
    </row>
    <row r="308" spans="1:8">
      <c r="A308" s="62"/>
      <c r="B308" s="104"/>
      <c r="C308" s="104"/>
      <c r="D308" s="104"/>
      <c r="E308" s="104"/>
      <c r="F308" s="104"/>
      <c r="G308" s="104"/>
      <c r="H308" s="104"/>
    </row>
    <row r="309" spans="1:8">
      <c r="A309" s="62"/>
      <c r="B309" s="104"/>
      <c r="C309" s="104"/>
      <c r="D309" s="104"/>
      <c r="E309" s="104"/>
      <c r="F309" s="104"/>
      <c r="G309" s="104"/>
      <c r="H309" s="104"/>
    </row>
    <row r="310" spans="1:8">
      <c r="A310" s="62"/>
      <c r="B310" s="104"/>
      <c r="C310" s="104"/>
      <c r="D310" s="104"/>
      <c r="E310" s="104"/>
      <c r="F310" s="104"/>
      <c r="G310" s="104"/>
      <c r="H310" s="104"/>
    </row>
    <row r="311" spans="1:8">
      <c r="A311" s="62"/>
      <c r="B311" s="104"/>
      <c r="C311" s="104"/>
      <c r="D311" s="104"/>
      <c r="E311" s="104"/>
      <c r="F311" s="104"/>
      <c r="G311" s="104"/>
      <c r="H311" s="104"/>
    </row>
    <row r="312" spans="1:8">
      <c r="A312" s="62"/>
      <c r="B312" s="104"/>
      <c r="C312" s="104"/>
      <c r="D312" s="104"/>
      <c r="E312" s="104"/>
      <c r="F312" s="104"/>
      <c r="G312" s="104"/>
      <c r="H312" s="104"/>
    </row>
    <row r="313" spans="1:8">
      <c r="A313" s="62"/>
      <c r="B313" s="104"/>
      <c r="C313" s="104"/>
      <c r="D313" s="104"/>
      <c r="E313" s="104"/>
      <c r="F313" s="104"/>
      <c r="G313" s="104"/>
      <c r="H313" s="104"/>
    </row>
    <row r="314" spans="1:8">
      <c r="A314" s="62"/>
      <c r="B314" s="104"/>
      <c r="C314" s="104"/>
      <c r="D314" s="104"/>
      <c r="E314" s="104"/>
      <c r="F314" s="104"/>
      <c r="G314" s="104"/>
      <c r="H314" s="104"/>
    </row>
    <row r="315" spans="1:8">
      <c r="A315" s="62"/>
      <c r="B315" s="104"/>
      <c r="C315" s="104"/>
      <c r="D315" s="104"/>
      <c r="E315" s="104"/>
      <c r="F315" s="104"/>
      <c r="G315" s="104"/>
      <c r="H315" s="104"/>
    </row>
    <row r="316" spans="1:8">
      <c r="A316" s="62"/>
      <c r="B316" s="104"/>
      <c r="C316" s="104"/>
      <c r="D316" s="104"/>
      <c r="E316" s="104"/>
      <c r="F316" s="104"/>
      <c r="G316" s="104"/>
      <c r="H316" s="104"/>
    </row>
    <row r="317" spans="1:8">
      <c r="A317" s="62"/>
      <c r="B317" s="104"/>
      <c r="C317" s="104"/>
      <c r="D317" s="104"/>
      <c r="E317" s="104"/>
      <c r="F317" s="104"/>
      <c r="G317" s="104"/>
      <c r="H317" s="104"/>
    </row>
    <row r="318" spans="1:8">
      <c r="A318" s="62"/>
      <c r="B318" s="104"/>
      <c r="C318" s="104"/>
      <c r="D318" s="104"/>
      <c r="E318" s="104"/>
      <c r="F318" s="104"/>
      <c r="G318" s="104"/>
      <c r="H318" s="104"/>
    </row>
    <row r="319" spans="1:8">
      <c r="A319" s="62"/>
      <c r="B319" s="104"/>
      <c r="C319" s="104"/>
      <c r="D319" s="104"/>
      <c r="E319" s="104"/>
      <c r="F319" s="104"/>
      <c r="G319" s="104"/>
      <c r="H319" s="104"/>
    </row>
    <row r="320" spans="1:8">
      <c r="A320" s="62"/>
      <c r="B320" s="104"/>
      <c r="C320" s="104"/>
      <c r="D320" s="104"/>
      <c r="E320" s="104"/>
      <c r="F320" s="104"/>
      <c r="G320" s="104"/>
      <c r="H320" s="104"/>
    </row>
    <row r="321" spans="1:8">
      <c r="A321" s="62"/>
      <c r="B321" s="104"/>
      <c r="C321" s="104"/>
      <c r="D321" s="104"/>
      <c r="E321" s="104"/>
      <c r="F321" s="104"/>
      <c r="G321" s="104"/>
      <c r="H321" s="104"/>
    </row>
    <row r="322" spans="1:8">
      <c r="A322" s="62"/>
      <c r="B322" s="104"/>
      <c r="C322" s="104"/>
      <c r="D322" s="104"/>
      <c r="E322" s="104"/>
      <c r="F322" s="104"/>
      <c r="G322" s="104"/>
      <c r="H322" s="104"/>
    </row>
    <row r="323" spans="1:8">
      <c r="A323" s="62"/>
      <c r="B323" s="104"/>
      <c r="C323" s="104"/>
      <c r="D323" s="104"/>
      <c r="E323" s="104"/>
      <c r="F323" s="104"/>
      <c r="G323" s="104"/>
      <c r="H323" s="104"/>
    </row>
    <row r="324" spans="1:8">
      <c r="A324" s="62"/>
      <c r="B324" s="104"/>
      <c r="C324" s="104"/>
      <c r="D324" s="104"/>
      <c r="E324" s="104"/>
      <c r="F324" s="104"/>
      <c r="G324" s="104"/>
      <c r="H324" s="104"/>
    </row>
    <row r="325" spans="1:8">
      <c r="A325" s="62"/>
      <c r="B325" s="104"/>
      <c r="C325" s="104"/>
      <c r="D325" s="104"/>
      <c r="E325" s="104"/>
      <c r="F325" s="104"/>
      <c r="G325" s="104"/>
      <c r="H325" s="104"/>
    </row>
    <row r="326" spans="1:8">
      <c r="A326" s="62"/>
      <c r="B326" s="104"/>
      <c r="C326" s="104"/>
      <c r="D326" s="104"/>
      <c r="E326" s="104"/>
      <c r="F326" s="104"/>
      <c r="G326" s="104"/>
      <c r="H326" s="104"/>
    </row>
    <row r="327" spans="1:8">
      <c r="A327" s="62"/>
      <c r="B327" s="104"/>
      <c r="C327" s="104"/>
      <c r="D327" s="104"/>
      <c r="E327" s="104"/>
      <c r="F327" s="104"/>
      <c r="G327" s="104"/>
      <c r="H327" s="104"/>
    </row>
    <row r="328" spans="1:8">
      <c r="A328" s="62"/>
      <c r="B328" s="104"/>
      <c r="C328" s="104"/>
      <c r="D328" s="104"/>
      <c r="E328" s="104"/>
      <c r="F328" s="104"/>
      <c r="G328" s="104"/>
      <c r="H328" s="104"/>
    </row>
    <row r="329" spans="1:8">
      <c r="A329" s="62"/>
      <c r="B329" s="104"/>
      <c r="C329" s="104"/>
      <c r="D329" s="104"/>
      <c r="E329" s="104"/>
      <c r="F329" s="104"/>
      <c r="G329" s="104"/>
      <c r="H329" s="104"/>
    </row>
    <row r="330" spans="1:8">
      <c r="A330" s="62"/>
      <c r="B330" s="104"/>
      <c r="C330" s="104"/>
      <c r="D330" s="104"/>
      <c r="E330" s="104"/>
      <c r="F330" s="104"/>
      <c r="G330" s="104"/>
      <c r="H330" s="104"/>
    </row>
    <row r="331" spans="1:8">
      <c r="A331" s="62"/>
      <c r="B331" s="104"/>
      <c r="C331" s="104"/>
      <c r="D331" s="104"/>
      <c r="E331" s="104"/>
      <c r="F331" s="104"/>
      <c r="G331" s="104"/>
      <c r="H331" s="104"/>
    </row>
    <row r="332" spans="1:8">
      <c r="A332" s="62"/>
      <c r="B332" s="104"/>
      <c r="C332" s="104"/>
      <c r="D332" s="104"/>
      <c r="E332" s="104"/>
      <c r="F332" s="104"/>
      <c r="G332" s="104"/>
      <c r="H332" s="104"/>
    </row>
    <row r="333" spans="1:8">
      <c r="A333" s="62"/>
      <c r="B333" s="104"/>
      <c r="C333" s="104"/>
      <c r="D333" s="104"/>
      <c r="E333" s="104"/>
      <c r="F333" s="104"/>
      <c r="G333" s="104"/>
      <c r="H333" s="104"/>
    </row>
    <row r="334" spans="1:8">
      <c r="A334" s="62"/>
      <c r="B334" s="104"/>
      <c r="C334" s="104"/>
      <c r="D334" s="104"/>
      <c r="E334" s="104"/>
      <c r="F334" s="104"/>
      <c r="G334" s="104"/>
      <c r="H334" s="104"/>
    </row>
    <row r="335" spans="1:8">
      <c r="A335" s="62"/>
      <c r="B335" s="104"/>
      <c r="C335" s="104"/>
      <c r="D335" s="104"/>
      <c r="E335" s="104"/>
      <c r="F335" s="104"/>
      <c r="G335" s="104"/>
      <c r="H335" s="104"/>
    </row>
    <row r="336" spans="1:8">
      <c r="A336" s="62"/>
      <c r="B336" s="104"/>
      <c r="C336" s="104"/>
      <c r="D336" s="104"/>
      <c r="E336" s="104"/>
      <c r="F336" s="104"/>
      <c r="G336" s="104"/>
      <c r="H336" s="104"/>
    </row>
    <row r="337" spans="1:8">
      <c r="A337" s="62"/>
      <c r="B337" s="104"/>
      <c r="C337" s="104"/>
      <c r="D337" s="104"/>
      <c r="E337" s="104"/>
      <c r="F337" s="104"/>
      <c r="G337" s="104"/>
      <c r="H337" s="104"/>
    </row>
    <row r="338" spans="1:8">
      <c r="A338" s="62"/>
      <c r="B338" s="104"/>
      <c r="C338" s="104"/>
      <c r="D338" s="104"/>
      <c r="E338" s="104"/>
      <c r="F338" s="104"/>
      <c r="G338" s="104"/>
      <c r="H338" s="104"/>
    </row>
    <row r="339" spans="1:8">
      <c r="A339" s="62"/>
      <c r="B339" s="104"/>
      <c r="C339" s="104"/>
      <c r="D339" s="104"/>
      <c r="E339" s="104"/>
      <c r="F339" s="104"/>
      <c r="G339" s="104"/>
      <c r="H339" s="104"/>
    </row>
    <row r="340" spans="1:8">
      <c r="A340" s="62"/>
      <c r="B340" s="104"/>
      <c r="C340" s="104"/>
      <c r="D340" s="104"/>
      <c r="E340" s="104"/>
      <c r="F340" s="104"/>
      <c r="G340" s="104"/>
      <c r="H340" s="104"/>
    </row>
    <row r="341" spans="1:8">
      <c r="A341" s="62"/>
      <c r="B341" s="104"/>
      <c r="C341" s="104"/>
      <c r="D341" s="104"/>
      <c r="E341" s="104"/>
      <c r="F341" s="104"/>
      <c r="G341" s="104"/>
      <c r="H341" s="104"/>
    </row>
    <row r="342" spans="1:8">
      <c r="A342" s="62"/>
      <c r="B342" s="104"/>
      <c r="C342" s="104"/>
      <c r="D342" s="104"/>
      <c r="E342" s="104"/>
      <c r="F342" s="104"/>
      <c r="G342" s="104"/>
      <c r="H342" s="104"/>
    </row>
    <row r="343" spans="1:8">
      <c r="A343" s="62"/>
      <c r="B343" s="104"/>
      <c r="C343" s="104"/>
      <c r="D343" s="104"/>
      <c r="E343" s="104"/>
      <c r="F343" s="104"/>
      <c r="G343" s="104"/>
      <c r="H343" s="104"/>
    </row>
    <row r="344" spans="1:8">
      <c r="A344" s="62"/>
      <c r="B344" s="104"/>
      <c r="C344" s="104"/>
      <c r="D344" s="104"/>
      <c r="E344" s="104"/>
      <c r="F344" s="104"/>
      <c r="G344" s="104"/>
      <c r="H344" s="104"/>
    </row>
    <row r="345" spans="1:8">
      <c r="A345" s="62"/>
      <c r="B345" s="104"/>
      <c r="C345" s="104"/>
      <c r="D345" s="104"/>
      <c r="E345" s="104"/>
      <c r="F345" s="104"/>
      <c r="G345" s="104"/>
      <c r="H345" s="104"/>
    </row>
    <row r="346" spans="1:8">
      <c r="A346" s="62"/>
      <c r="B346" s="104"/>
      <c r="C346" s="104"/>
      <c r="D346" s="104"/>
      <c r="E346" s="104"/>
      <c r="F346" s="104"/>
      <c r="G346" s="104"/>
      <c r="H346" s="104"/>
    </row>
    <row r="347" spans="1:8">
      <c r="A347" s="62"/>
      <c r="B347" s="104"/>
      <c r="C347" s="104"/>
      <c r="D347" s="104"/>
      <c r="E347" s="104"/>
      <c r="F347" s="104"/>
      <c r="G347" s="104"/>
      <c r="H347" s="104"/>
    </row>
    <row r="348" spans="1:8">
      <c r="A348" s="62"/>
      <c r="B348" s="104"/>
      <c r="C348" s="104"/>
      <c r="D348" s="104"/>
      <c r="E348" s="104"/>
      <c r="F348" s="104"/>
      <c r="G348" s="104"/>
      <c r="H348" s="104"/>
    </row>
    <row r="349" spans="1:8">
      <c r="A349" s="62"/>
      <c r="B349" s="104"/>
      <c r="C349" s="104"/>
      <c r="D349" s="104"/>
      <c r="E349" s="104"/>
      <c r="F349" s="104"/>
      <c r="G349" s="104"/>
      <c r="H349" s="104"/>
    </row>
    <row r="350" spans="1:8">
      <c r="A350" s="62"/>
      <c r="B350" s="104"/>
      <c r="C350" s="104"/>
      <c r="D350" s="104"/>
      <c r="E350" s="104"/>
      <c r="F350" s="104"/>
      <c r="G350" s="104"/>
      <c r="H350" s="104"/>
    </row>
    <row r="351" spans="1:8">
      <c r="A351" s="62"/>
      <c r="B351" s="104"/>
      <c r="C351" s="104"/>
      <c r="D351" s="104"/>
      <c r="E351" s="104"/>
      <c r="F351" s="104"/>
      <c r="G351" s="104"/>
      <c r="H351" s="104"/>
    </row>
    <row r="352" spans="1:8">
      <c r="A352" s="62"/>
      <c r="B352" s="104"/>
      <c r="C352" s="104"/>
      <c r="D352" s="104"/>
      <c r="E352" s="104"/>
      <c r="F352" s="104"/>
      <c r="G352" s="104"/>
      <c r="H352" s="104"/>
    </row>
    <row r="353" spans="1:8">
      <c r="A353" s="62"/>
      <c r="B353" s="104"/>
      <c r="C353" s="104"/>
      <c r="D353" s="104"/>
      <c r="E353" s="104"/>
      <c r="F353" s="104"/>
      <c r="G353" s="104"/>
      <c r="H353" s="104"/>
    </row>
    <row r="354" spans="1:8">
      <c r="A354" s="62"/>
      <c r="B354" s="104"/>
      <c r="C354" s="104"/>
      <c r="D354" s="104"/>
      <c r="E354" s="104"/>
      <c r="F354" s="104"/>
      <c r="G354" s="104"/>
      <c r="H354" s="104"/>
    </row>
    <row r="355" spans="1:8">
      <c r="A355" s="62"/>
      <c r="B355" s="104"/>
      <c r="C355" s="104"/>
      <c r="D355" s="104"/>
      <c r="E355" s="104"/>
      <c r="F355" s="104"/>
      <c r="G355" s="104"/>
      <c r="H355" s="104"/>
    </row>
    <row r="356" spans="1:8">
      <c r="A356" s="62"/>
      <c r="B356" s="104"/>
      <c r="C356" s="104"/>
      <c r="D356" s="104"/>
      <c r="E356" s="104"/>
      <c r="F356" s="104"/>
      <c r="G356" s="104"/>
      <c r="H356" s="104"/>
    </row>
    <row r="357" spans="1:8">
      <c r="A357" s="62"/>
      <c r="B357" s="104"/>
      <c r="C357" s="104"/>
      <c r="D357" s="104"/>
      <c r="E357" s="104"/>
      <c r="F357" s="104"/>
      <c r="G357" s="104"/>
      <c r="H357" s="104"/>
    </row>
    <row r="358" spans="1:8">
      <c r="A358" s="62"/>
      <c r="B358" s="104"/>
      <c r="C358" s="104"/>
      <c r="D358" s="104"/>
      <c r="E358" s="104"/>
      <c r="F358" s="104"/>
      <c r="G358" s="104"/>
      <c r="H358" s="104"/>
    </row>
    <row r="359" spans="1:8">
      <c r="A359" s="62"/>
      <c r="B359" s="104"/>
      <c r="C359" s="104"/>
      <c r="D359" s="104"/>
      <c r="E359" s="104"/>
      <c r="F359" s="104"/>
      <c r="G359" s="104"/>
      <c r="H359" s="104"/>
    </row>
    <row r="360" spans="1:8">
      <c r="A360" s="62"/>
      <c r="B360" s="104"/>
      <c r="C360" s="104"/>
      <c r="D360" s="104"/>
      <c r="E360" s="104"/>
      <c r="F360" s="104"/>
      <c r="G360" s="104"/>
      <c r="H360" s="104"/>
    </row>
    <row r="361" spans="1:8">
      <c r="A361" s="62"/>
      <c r="B361" s="104"/>
      <c r="C361" s="104"/>
      <c r="D361" s="104"/>
      <c r="E361" s="104"/>
      <c r="F361" s="104"/>
      <c r="G361" s="104"/>
      <c r="H361" s="104"/>
    </row>
    <row r="362" spans="1:8">
      <c r="A362" s="62"/>
      <c r="B362" s="104"/>
      <c r="C362" s="104"/>
      <c r="D362" s="104"/>
      <c r="E362" s="104"/>
      <c r="F362" s="104"/>
      <c r="G362" s="104"/>
      <c r="H362" s="104"/>
    </row>
    <row r="363" spans="1:8">
      <c r="A363" s="62"/>
      <c r="B363" s="104"/>
      <c r="C363" s="104"/>
      <c r="D363" s="104"/>
      <c r="E363" s="104"/>
      <c r="F363" s="104"/>
      <c r="G363" s="104"/>
      <c r="H363" s="104"/>
    </row>
    <row r="364" spans="1:8">
      <c r="A364" s="62"/>
      <c r="B364" s="104"/>
      <c r="C364" s="104"/>
      <c r="D364" s="104"/>
      <c r="E364" s="104"/>
      <c r="F364" s="104"/>
      <c r="G364" s="104"/>
      <c r="H364" s="104"/>
    </row>
    <row r="365" spans="1:8">
      <c r="A365" s="62"/>
      <c r="B365" s="104"/>
      <c r="C365" s="104"/>
      <c r="D365" s="104"/>
      <c r="E365" s="104"/>
      <c r="F365" s="104"/>
      <c r="G365" s="104"/>
      <c r="H365" s="104"/>
    </row>
    <row r="366" spans="1:8">
      <c r="A366" s="62"/>
      <c r="B366" s="104"/>
      <c r="C366" s="104"/>
      <c r="D366" s="104"/>
      <c r="E366" s="104"/>
      <c r="F366" s="104"/>
      <c r="G366" s="104"/>
      <c r="H366" s="104"/>
    </row>
    <row r="367" spans="1:8">
      <c r="A367" s="62"/>
      <c r="B367" s="104"/>
      <c r="C367" s="104"/>
      <c r="D367" s="104"/>
      <c r="E367" s="104"/>
      <c r="F367" s="104"/>
      <c r="G367" s="104"/>
      <c r="H367" s="104"/>
    </row>
    <row r="368" spans="1:8">
      <c r="A368" s="62"/>
      <c r="B368" s="104"/>
      <c r="C368" s="104"/>
      <c r="D368" s="104"/>
      <c r="E368" s="104"/>
      <c r="F368" s="104"/>
      <c r="G368" s="104"/>
      <c r="H368" s="104"/>
    </row>
    <row r="369" spans="1:8">
      <c r="A369" s="62"/>
      <c r="B369" s="104"/>
      <c r="C369" s="104"/>
      <c r="D369" s="104"/>
      <c r="E369" s="104"/>
      <c r="F369" s="104"/>
      <c r="G369" s="104"/>
      <c r="H369" s="104"/>
    </row>
    <row r="370" spans="1:8">
      <c r="A370" s="62"/>
      <c r="B370" s="104"/>
      <c r="C370" s="104"/>
      <c r="D370" s="104"/>
      <c r="E370" s="104"/>
      <c r="F370" s="104"/>
      <c r="G370" s="104"/>
      <c r="H370" s="104"/>
    </row>
    <row r="371" spans="1:8">
      <c r="A371" s="62"/>
      <c r="B371" s="104"/>
      <c r="C371" s="104"/>
      <c r="D371" s="104"/>
      <c r="E371" s="104"/>
      <c r="F371" s="104"/>
      <c r="G371" s="104"/>
      <c r="H371" s="104"/>
    </row>
    <row r="372" spans="1:8">
      <c r="A372" s="62"/>
      <c r="B372" s="104"/>
      <c r="C372" s="104"/>
      <c r="D372" s="104"/>
      <c r="E372" s="104"/>
      <c r="F372" s="104"/>
      <c r="G372" s="104"/>
      <c r="H372" s="104"/>
    </row>
    <row r="373" spans="1:8">
      <c r="A373" s="62"/>
      <c r="B373" s="104"/>
      <c r="C373" s="104"/>
      <c r="D373" s="104"/>
      <c r="E373" s="104"/>
      <c r="F373" s="104"/>
      <c r="G373" s="104"/>
      <c r="H373" s="104"/>
    </row>
    <row r="374" spans="1:8">
      <c r="A374" s="62"/>
      <c r="B374" s="104"/>
      <c r="C374" s="104"/>
      <c r="D374" s="104"/>
      <c r="E374" s="104"/>
      <c r="F374" s="104"/>
      <c r="G374" s="104"/>
      <c r="H374" s="104"/>
    </row>
    <row r="375" spans="1:8">
      <c r="A375" s="62"/>
      <c r="B375" s="104"/>
      <c r="C375" s="104"/>
      <c r="D375" s="104"/>
      <c r="E375" s="104"/>
      <c r="F375" s="104"/>
      <c r="G375" s="104"/>
      <c r="H375" s="104"/>
    </row>
    <row r="376" spans="1:8">
      <c r="A376" s="62"/>
      <c r="B376" s="104"/>
      <c r="C376" s="104"/>
      <c r="D376" s="104"/>
      <c r="E376" s="104"/>
      <c r="F376" s="104"/>
      <c r="G376" s="104"/>
      <c r="H376" s="104"/>
    </row>
    <row r="377" spans="1:8">
      <c r="A377" s="62"/>
      <c r="B377" s="104"/>
      <c r="C377" s="104"/>
      <c r="D377" s="104"/>
      <c r="E377" s="104"/>
      <c r="F377" s="104"/>
      <c r="G377" s="104"/>
      <c r="H377" s="104"/>
    </row>
    <row r="378" spans="1:8">
      <c r="A378" s="62"/>
      <c r="B378" s="104"/>
      <c r="C378" s="104"/>
      <c r="D378" s="104"/>
      <c r="E378" s="104"/>
      <c r="F378" s="104"/>
      <c r="G378" s="104"/>
      <c r="H378" s="104"/>
    </row>
    <row r="379" spans="1:8">
      <c r="A379" s="62"/>
      <c r="B379" s="104"/>
      <c r="C379" s="104"/>
      <c r="D379" s="104"/>
      <c r="E379" s="104"/>
      <c r="F379" s="104"/>
      <c r="G379" s="104"/>
      <c r="H379" s="104"/>
    </row>
    <row r="380" spans="1:8">
      <c r="A380" s="62"/>
      <c r="B380" s="104"/>
      <c r="C380" s="104"/>
      <c r="D380" s="104"/>
      <c r="E380" s="104"/>
      <c r="F380" s="104"/>
      <c r="G380" s="104"/>
      <c r="H380" s="104"/>
    </row>
    <row r="381" spans="1:8">
      <c r="A381" s="62"/>
      <c r="B381" s="104"/>
      <c r="C381" s="104"/>
      <c r="D381" s="104"/>
      <c r="E381" s="104"/>
      <c r="F381" s="104"/>
      <c r="G381" s="104"/>
      <c r="H381" s="104"/>
    </row>
    <row r="382" spans="1:8">
      <c r="A382" s="62"/>
      <c r="B382" s="104"/>
      <c r="C382" s="104"/>
      <c r="D382" s="104"/>
      <c r="E382" s="104"/>
      <c r="F382" s="104"/>
      <c r="G382" s="104"/>
      <c r="H382" s="104"/>
    </row>
    <row r="383" spans="1:8">
      <c r="A383" s="62"/>
      <c r="B383" s="104"/>
      <c r="C383" s="104"/>
      <c r="D383" s="104"/>
      <c r="E383" s="104"/>
      <c r="F383" s="104"/>
      <c r="G383" s="104"/>
      <c r="H383" s="104"/>
    </row>
    <row r="384" spans="1:8">
      <c r="A384" s="62"/>
      <c r="B384" s="104"/>
      <c r="C384" s="104"/>
      <c r="D384" s="104"/>
      <c r="E384" s="104"/>
      <c r="F384" s="104"/>
      <c r="G384" s="104"/>
      <c r="H384" s="104"/>
    </row>
    <row r="385" spans="1:8">
      <c r="A385" s="62"/>
      <c r="B385" s="104"/>
      <c r="C385" s="104"/>
      <c r="D385" s="104"/>
      <c r="E385" s="104"/>
      <c r="F385" s="104"/>
      <c r="G385" s="104"/>
      <c r="H385" s="104"/>
    </row>
    <row r="386" spans="1:8">
      <c r="A386" s="62"/>
      <c r="B386" s="104"/>
      <c r="C386" s="104"/>
      <c r="D386" s="104"/>
      <c r="E386" s="104"/>
      <c r="F386" s="104"/>
      <c r="G386" s="104"/>
      <c r="H386" s="104"/>
    </row>
    <row r="387" spans="1:8">
      <c r="A387" s="62"/>
      <c r="B387" s="104"/>
      <c r="C387" s="104"/>
      <c r="D387" s="104"/>
      <c r="E387" s="104"/>
      <c r="F387" s="104"/>
      <c r="G387" s="104"/>
      <c r="H387" s="104"/>
    </row>
    <row r="388" spans="1:8">
      <c r="A388" s="62"/>
      <c r="B388" s="104"/>
      <c r="C388" s="104"/>
      <c r="D388" s="104"/>
      <c r="E388" s="104"/>
      <c r="F388" s="104"/>
      <c r="G388" s="104"/>
      <c r="H388" s="104"/>
    </row>
    <row r="389" spans="1:8">
      <c r="A389" s="62"/>
      <c r="B389" s="104"/>
      <c r="C389" s="104"/>
      <c r="D389" s="104"/>
      <c r="E389" s="104"/>
      <c r="F389" s="104"/>
      <c r="G389" s="104"/>
      <c r="H389" s="104"/>
    </row>
    <row r="390" spans="1:8">
      <c r="A390" s="62"/>
      <c r="B390" s="104"/>
      <c r="C390" s="104"/>
      <c r="D390" s="104"/>
      <c r="E390" s="104"/>
      <c r="F390" s="104"/>
      <c r="G390" s="104"/>
      <c r="H390" s="104"/>
    </row>
    <row r="391" spans="1:8">
      <c r="A391" s="62"/>
      <c r="B391" s="104"/>
      <c r="C391" s="104"/>
      <c r="D391" s="104"/>
      <c r="E391" s="104"/>
      <c r="F391" s="104"/>
      <c r="G391" s="104"/>
      <c r="H391" s="104"/>
    </row>
    <row r="392" spans="1:8">
      <c r="A392" s="62"/>
      <c r="B392" s="104"/>
      <c r="C392" s="104"/>
      <c r="D392" s="104"/>
      <c r="E392" s="104"/>
      <c r="F392" s="104"/>
      <c r="G392" s="104"/>
      <c r="H392" s="104"/>
    </row>
    <row r="393" spans="1:8">
      <c r="A393" s="62"/>
      <c r="B393" s="104"/>
      <c r="C393" s="104"/>
      <c r="D393" s="104"/>
      <c r="E393" s="104"/>
      <c r="F393" s="104"/>
      <c r="G393" s="104"/>
      <c r="H393" s="104"/>
    </row>
    <row r="394" spans="1:8">
      <c r="A394" s="62"/>
      <c r="B394" s="104"/>
      <c r="C394" s="104"/>
      <c r="D394" s="104"/>
      <c r="E394" s="104"/>
      <c r="F394" s="104"/>
      <c r="G394" s="104"/>
      <c r="H394" s="104"/>
    </row>
    <row r="395" spans="1:8">
      <c r="A395" s="62"/>
      <c r="B395" s="104"/>
      <c r="C395" s="104"/>
      <c r="D395" s="104"/>
      <c r="E395" s="104"/>
      <c r="F395" s="104"/>
      <c r="G395" s="104"/>
      <c r="H395" s="104"/>
    </row>
    <row r="396" spans="1:8">
      <c r="A396" s="62"/>
      <c r="B396" s="104"/>
      <c r="C396" s="104"/>
      <c r="D396" s="104"/>
      <c r="E396" s="104"/>
      <c r="F396" s="104"/>
      <c r="G396" s="104"/>
      <c r="H396" s="104"/>
    </row>
    <row r="397" spans="1:8">
      <c r="A397" s="62"/>
      <c r="B397" s="104"/>
      <c r="C397" s="104"/>
      <c r="D397" s="104"/>
      <c r="E397" s="104"/>
      <c r="F397" s="104"/>
      <c r="G397" s="104"/>
      <c r="H397" s="104"/>
    </row>
    <row r="398" spans="1:8">
      <c r="A398" s="62"/>
      <c r="B398" s="104"/>
      <c r="C398" s="104"/>
      <c r="D398" s="104"/>
      <c r="E398" s="104"/>
      <c r="F398" s="104"/>
      <c r="G398" s="104"/>
      <c r="H398" s="104"/>
    </row>
    <row r="399" spans="1:8">
      <c r="A399" s="62"/>
      <c r="B399" s="104"/>
      <c r="C399" s="104"/>
      <c r="D399" s="104"/>
      <c r="E399" s="104"/>
      <c r="F399" s="104"/>
      <c r="G399" s="104"/>
      <c r="H399" s="104"/>
    </row>
    <row r="400" spans="1:8">
      <c r="A400" s="62"/>
      <c r="B400" s="104"/>
      <c r="C400" s="104"/>
      <c r="D400" s="104"/>
      <c r="E400" s="104"/>
      <c r="F400" s="104"/>
      <c r="G400" s="104"/>
      <c r="H400" s="104"/>
    </row>
    <row r="401" spans="1:8">
      <c r="A401" s="62"/>
      <c r="B401" s="104"/>
      <c r="C401" s="104"/>
      <c r="D401" s="104"/>
      <c r="E401" s="104"/>
      <c r="F401" s="104"/>
      <c r="G401" s="104"/>
      <c r="H401" s="104"/>
    </row>
    <row r="402" spans="1:8">
      <c r="A402" s="62"/>
      <c r="B402" s="104"/>
      <c r="C402" s="104"/>
      <c r="D402" s="104"/>
      <c r="E402" s="104"/>
      <c r="F402" s="104"/>
      <c r="G402" s="104"/>
      <c r="H402" s="104"/>
    </row>
    <row r="403" spans="1:8">
      <c r="A403" s="62"/>
      <c r="B403" s="104"/>
      <c r="C403" s="104"/>
      <c r="D403" s="104"/>
      <c r="E403" s="104"/>
      <c r="F403" s="104"/>
      <c r="G403" s="104"/>
      <c r="H403" s="104"/>
    </row>
    <row r="404" spans="1:8">
      <c r="A404" s="62"/>
      <c r="B404" s="104"/>
      <c r="C404" s="104"/>
      <c r="D404" s="104"/>
      <c r="E404" s="104"/>
      <c r="F404" s="104"/>
      <c r="G404" s="104"/>
      <c r="H404" s="104"/>
    </row>
    <row r="405" spans="1:8">
      <c r="A405" s="62"/>
      <c r="B405" s="104"/>
      <c r="C405" s="104"/>
      <c r="D405" s="104"/>
      <c r="E405" s="104"/>
      <c r="F405" s="104"/>
      <c r="G405" s="104"/>
      <c r="H405" s="104"/>
    </row>
    <row r="406" spans="1:8">
      <c r="A406" s="62"/>
      <c r="B406" s="104"/>
      <c r="C406" s="104"/>
      <c r="D406" s="104"/>
      <c r="E406" s="104"/>
      <c r="F406" s="104"/>
      <c r="G406" s="104"/>
      <c r="H406" s="104"/>
    </row>
    <row r="407" spans="1:8">
      <c r="A407" s="62"/>
      <c r="B407" s="104"/>
      <c r="C407" s="104"/>
      <c r="D407" s="104"/>
      <c r="E407" s="104"/>
      <c r="F407" s="104"/>
      <c r="G407" s="104"/>
      <c r="H407" s="104"/>
    </row>
    <row r="408" spans="1:8">
      <c r="A408" s="62"/>
      <c r="B408" s="104"/>
      <c r="C408" s="104"/>
      <c r="D408" s="104"/>
      <c r="E408" s="104"/>
      <c r="F408" s="104"/>
      <c r="G408" s="104"/>
      <c r="H408" s="104"/>
    </row>
    <row r="409" spans="1:8">
      <c r="A409" s="62"/>
      <c r="B409" s="104"/>
      <c r="C409" s="104"/>
      <c r="D409" s="104"/>
      <c r="E409" s="104"/>
      <c r="F409" s="104"/>
      <c r="G409" s="104"/>
      <c r="H409" s="104"/>
    </row>
    <row r="410" spans="1:8">
      <c r="A410" s="62"/>
      <c r="B410" s="104"/>
      <c r="C410" s="104"/>
      <c r="D410" s="104"/>
      <c r="E410" s="104"/>
      <c r="F410" s="104"/>
      <c r="G410" s="104"/>
      <c r="H410" s="104"/>
    </row>
    <row r="411" spans="1:8">
      <c r="A411" s="62"/>
      <c r="B411" s="104"/>
      <c r="C411" s="104"/>
      <c r="D411" s="104"/>
      <c r="E411" s="104"/>
      <c r="F411" s="104"/>
      <c r="G411" s="104"/>
      <c r="H411" s="104"/>
    </row>
    <row r="412" spans="1:8">
      <c r="A412" s="62"/>
      <c r="B412" s="104"/>
      <c r="C412" s="104"/>
      <c r="D412" s="104"/>
      <c r="E412" s="104"/>
      <c r="F412" s="104"/>
      <c r="G412" s="104"/>
      <c r="H412" s="104"/>
    </row>
    <row r="413" spans="1:8">
      <c r="A413" s="62"/>
      <c r="B413" s="104"/>
      <c r="C413" s="104"/>
      <c r="D413" s="104"/>
      <c r="E413" s="104"/>
      <c r="F413" s="104"/>
      <c r="G413" s="104"/>
      <c r="H413" s="104"/>
    </row>
    <row r="414" spans="1:8">
      <c r="A414" s="62"/>
      <c r="B414" s="104"/>
      <c r="C414" s="104"/>
      <c r="D414" s="104"/>
      <c r="E414" s="104"/>
      <c r="F414" s="104"/>
      <c r="G414" s="104"/>
      <c r="H414" s="104"/>
    </row>
    <row r="415" spans="1:8">
      <c r="A415" s="62"/>
      <c r="B415" s="104"/>
      <c r="C415" s="104"/>
      <c r="D415" s="104"/>
      <c r="E415" s="104"/>
      <c r="F415" s="104"/>
      <c r="G415" s="104"/>
      <c r="H415" s="104"/>
    </row>
    <row r="416" spans="1:8">
      <c r="A416" s="62"/>
      <c r="B416" s="104"/>
      <c r="C416" s="104"/>
      <c r="D416" s="104"/>
      <c r="E416" s="104"/>
      <c r="F416" s="104"/>
      <c r="G416" s="104"/>
      <c r="H416" s="104"/>
    </row>
    <row r="417" spans="1:8">
      <c r="A417" s="62"/>
      <c r="B417" s="104"/>
      <c r="C417" s="104"/>
      <c r="D417" s="104"/>
      <c r="E417" s="104"/>
      <c r="F417" s="104"/>
      <c r="G417" s="104"/>
      <c r="H417" s="104"/>
    </row>
    <row r="418" spans="1:8">
      <c r="A418" s="62"/>
      <c r="B418" s="104"/>
      <c r="C418" s="104"/>
      <c r="D418" s="104"/>
      <c r="E418" s="104"/>
      <c r="F418" s="104"/>
      <c r="G418" s="104"/>
      <c r="H418" s="104"/>
    </row>
    <row r="419" spans="1:8">
      <c r="A419" s="62"/>
      <c r="B419" s="104"/>
      <c r="C419" s="104"/>
      <c r="D419" s="104"/>
      <c r="E419" s="104"/>
      <c r="F419" s="104"/>
      <c r="G419" s="104"/>
      <c r="H419" s="104"/>
    </row>
    <row r="420" spans="1:8">
      <c r="A420" s="62"/>
      <c r="B420" s="104"/>
      <c r="C420" s="104"/>
      <c r="D420" s="104"/>
      <c r="E420" s="104"/>
      <c r="F420" s="104"/>
      <c r="G420" s="104"/>
      <c r="H420" s="104"/>
    </row>
    <row r="421" spans="1:8">
      <c r="A421" s="62"/>
      <c r="B421" s="104"/>
      <c r="C421" s="104"/>
      <c r="D421" s="104"/>
      <c r="E421" s="104"/>
      <c r="F421" s="104"/>
      <c r="G421" s="104"/>
      <c r="H421" s="104"/>
    </row>
    <row r="422" spans="1:8">
      <c r="A422" s="62"/>
      <c r="B422" s="104"/>
      <c r="C422" s="104"/>
      <c r="D422" s="104"/>
      <c r="E422" s="104"/>
      <c r="F422" s="104"/>
      <c r="G422" s="104"/>
      <c r="H422" s="104"/>
    </row>
    <row r="423" spans="1:8">
      <c r="A423" s="62"/>
      <c r="B423" s="104"/>
      <c r="C423" s="104"/>
      <c r="D423" s="104"/>
      <c r="E423" s="104"/>
      <c r="F423" s="104"/>
      <c r="G423" s="104"/>
      <c r="H423" s="104"/>
    </row>
    <row r="424" spans="1:8">
      <c r="A424" s="62"/>
      <c r="B424" s="104"/>
      <c r="C424" s="104"/>
      <c r="D424" s="104"/>
      <c r="E424" s="104"/>
      <c r="F424" s="104"/>
      <c r="G424" s="104"/>
      <c r="H424" s="104"/>
    </row>
    <row r="425" spans="1:8">
      <c r="A425" s="62"/>
      <c r="B425" s="104"/>
      <c r="C425" s="104"/>
      <c r="D425" s="104"/>
      <c r="E425" s="104"/>
      <c r="F425" s="104"/>
      <c r="G425" s="104"/>
      <c r="H425" s="104"/>
    </row>
    <row r="426" spans="1:8">
      <c r="A426" s="62"/>
      <c r="B426" s="104"/>
      <c r="C426" s="104"/>
      <c r="D426" s="104"/>
      <c r="E426" s="104"/>
      <c r="F426" s="104"/>
      <c r="G426" s="104"/>
      <c r="H426" s="104"/>
    </row>
    <row r="427" spans="1:8">
      <c r="A427" s="62"/>
      <c r="B427" s="104"/>
      <c r="C427" s="104"/>
      <c r="D427" s="104"/>
      <c r="E427" s="104"/>
      <c r="F427" s="104"/>
      <c r="G427" s="104"/>
      <c r="H427" s="104"/>
    </row>
    <row r="428" spans="1:8">
      <c r="A428" s="62"/>
      <c r="B428" s="104"/>
      <c r="C428" s="104"/>
      <c r="D428" s="104"/>
      <c r="E428" s="104"/>
      <c r="F428" s="104"/>
      <c r="G428" s="104"/>
      <c r="H428" s="104"/>
    </row>
    <row r="429" spans="1:8">
      <c r="A429" s="62"/>
      <c r="B429" s="104"/>
      <c r="C429" s="104"/>
      <c r="D429" s="104"/>
      <c r="E429" s="104"/>
      <c r="F429" s="104"/>
      <c r="G429" s="104"/>
      <c r="H429" s="104"/>
    </row>
    <row r="430" spans="1:8">
      <c r="A430" s="62"/>
      <c r="B430" s="104"/>
      <c r="C430" s="104"/>
      <c r="D430" s="104"/>
      <c r="E430" s="104"/>
      <c r="F430" s="104"/>
      <c r="G430" s="104"/>
      <c r="H430" s="104"/>
    </row>
    <row r="431" spans="1:8">
      <c r="A431" s="62"/>
      <c r="B431" s="104"/>
      <c r="C431" s="104"/>
      <c r="D431" s="104"/>
      <c r="E431" s="104"/>
      <c r="F431" s="104"/>
      <c r="G431" s="104"/>
      <c r="H431" s="104"/>
    </row>
    <row r="432" spans="1:8">
      <c r="A432" s="62"/>
      <c r="B432" s="104"/>
      <c r="C432" s="104"/>
      <c r="D432" s="104"/>
      <c r="E432" s="104"/>
      <c r="F432" s="104"/>
      <c r="G432" s="104"/>
      <c r="H432" s="104"/>
    </row>
    <row r="433" spans="1:8">
      <c r="A433" s="62"/>
      <c r="B433" s="104"/>
      <c r="C433" s="104"/>
      <c r="D433" s="104"/>
      <c r="E433" s="104"/>
      <c r="F433" s="104"/>
      <c r="G433" s="104"/>
      <c r="H433" s="104"/>
    </row>
    <row r="434" spans="1:8">
      <c r="A434" s="62"/>
      <c r="B434" s="104"/>
      <c r="C434" s="104"/>
      <c r="D434" s="104"/>
      <c r="E434" s="104"/>
      <c r="F434" s="104"/>
      <c r="G434" s="104"/>
      <c r="H434" s="104"/>
    </row>
    <row r="435" spans="1:8">
      <c r="A435" s="62"/>
      <c r="B435" s="104"/>
      <c r="C435" s="104"/>
      <c r="D435" s="104"/>
      <c r="E435" s="104"/>
      <c r="F435" s="104"/>
      <c r="G435" s="104"/>
      <c r="H435" s="104"/>
    </row>
    <row r="436" spans="1:8">
      <c r="A436" s="62"/>
      <c r="B436" s="104"/>
      <c r="C436" s="104"/>
      <c r="D436" s="104"/>
      <c r="E436" s="104"/>
      <c r="F436" s="104"/>
      <c r="G436" s="104"/>
      <c r="H436" s="104"/>
    </row>
    <row r="437" spans="1:8">
      <c r="A437" s="62"/>
      <c r="B437" s="104"/>
      <c r="C437" s="104"/>
      <c r="D437" s="104"/>
      <c r="E437" s="104"/>
      <c r="F437" s="104"/>
      <c r="G437" s="104"/>
      <c r="H437" s="104"/>
    </row>
    <row r="438" spans="1:8">
      <c r="A438" s="62"/>
      <c r="B438" s="104"/>
      <c r="C438" s="104"/>
      <c r="D438" s="104"/>
      <c r="E438" s="104"/>
      <c r="F438" s="104"/>
      <c r="G438" s="104"/>
      <c r="H438" s="104"/>
    </row>
    <row r="439" spans="1:8">
      <c r="A439" s="62"/>
      <c r="B439" s="104"/>
      <c r="C439" s="104"/>
      <c r="D439" s="104"/>
      <c r="E439" s="104"/>
      <c r="F439" s="104"/>
      <c r="G439" s="104"/>
      <c r="H439" s="104"/>
    </row>
    <row r="440" spans="1:8">
      <c r="A440" s="62"/>
      <c r="B440" s="104"/>
      <c r="C440" s="104"/>
      <c r="D440" s="104"/>
      <c r="E440" s="104"/>
      <c r="F440" s="104"/>
      <c r="G440" s="104"/>
      <c r="H440" s="104"/>
    </row>
    <row r="441" spans="1:8">
      <c r="A441" s="62"/>
      <c r="B441" s="104"/>
      <c r="C441" s="104"/>
      <c r="D441" s="104"/>
      <c r="E441" s="104"/>
      <c r="F441" s="104"/>
      <c r="G441" s="104"/>
      <c r="H441" s="104"/>
    </row>
    <row r="442" spans="1:8">
      <c r="A442" s="62"/>
      <c r="B442" s="104"/>
      <c r="C442" s="104"/>
      <c r="D442" s="104"/>
      <c r="E442" s="104"/>
      <c r="F442" s="104"/>
      <c r="G442" s="104"/>
      <c r="H442" s="104"/>
    </row>
    <row r="443" spans="1:8">
      <c r="A443" s="62"/>
      <c r="B443" s="104"/>
      <c r="C443" s="104"/>
      <c r="D443" s="104"/>
      <c r="E443" s="104"/>
      <c r="F443" s="104"/>
      <c r="G443" s="104"/>
      <c r="H443" s="104"/>
    </row>
    <row r="444" spans="1:8">
      <c r="A444" s="62"/>
      <c r="B444" s="104"/>
      <c r="C444" s="104"/>
      <c r="D444" s="104"/>
      <c r="E444" s="104"/>
      <c r="F444" s="104"/>
      <c r="G444" s="104"/>
      <c r="H444" s="104"/>
    </row>
    <row r="445" spans="1:8">
      <c r="A445" s="62"/>
      <c r="B445" s="104"/>
      <c r="C445" s="104"/>
      <c r="D445" s="104"/>
      <c r="E445" s="104"/>
      <c r="F445" s="104"/>
      <c r="G445" s="104"/>
      <c r="H445" s="104"/>
    </row>
    <row r="446" spans="1:8">
      <c r="A446" s="62"/>
      <c r="B446" s="104"/>
      <c r="C446" s="104"/>
      <c r="D446" s="104"/>
      <c r="E446" s="104"/>
      <c r="F446" s="104"/>
      <c r="G446" s="104"/>
      <c r="H446" s="104"/>
    </row>
    <row r="447" spans="1:8">
      <c r="A447" s="62"/>
      <c r="B447" s="104"/>
      <c r="C447" s="104"/>
      <c r="D447" s="104"/>
      <c r="E447" s="104"/>
      <c r="F447" s="104"/>
      <c r="G447" s="104"/>
      <c r="H447" s="104"/>
    </row>
    <row r="448" spans="1:8">
      <c r="A448" s="62"/>
      <c r="B448" s="104"/>
      <c r="C448" s="104"/>
      <c r="D448" s="104"/>
      <c r="E448" s="104"/>
      <c r="F448" s="104"/>
      <c r="G448" s="104"/>
      <c r="H448" s="104"/>
    </row>
    <row r="449" spans="1:8">
      <c r="A449" s="62"/>
      <c r="B449" s="104"/>
      <c r="C449" s="104"/>
      <c r="D449" s="104"/>
      <c r="E449" s="104"/>
      <c r="F449" s="104"/>
      <c r="G449" s="104"/>
      <c r="H449" s="104"/>
    </row>
    <row r="450" spans="1:8">
      <c r="A450" s="62"/>
      <c r="B450" s="104"/>
      <c r="C450" s="104"/>
      <c r="D450" s="104"/>
      <c r="E450" s="104"/>
      <c r="F450" s="104"/>
      <c r="G450" s="104"/>
      <c r="H450" s="104"/>
    </row>
    <row r="451" spans="1:8">
      <c r="A451" s="62"/>
      <c r="B451" s="104"/>
      <c r="C451" s="104"/>
      <c r="D451" s="104"/>
      <c r="E451" s="104"/>
      <c r="F451" s="104"/>
      <c r="G451" s="104"/>
      <c r="H451" s="104"/>
    </row>
    <row r="452" spans="1:8">
      <c r="A452" s="62"/>
      <c r="B452" s="104"/>
      <c r="C452" s="104"/>
      <c r="D452" s="104"/>
      <c r="E452" s="104"/>
      <c r="F452" s="104"/>
      <c r="G452" s="104"/>
      <c r="H452" s="104"/>
    </row>
    <row r="453" spans="1:8">
      <c r="A453" s="62"/>
      <c r="B453" s="104"/>
      <c r="C453" s="104"/>
      <c r="D453" s="104"/>
      <c r="E453" s="104"/>
      <c r="F453" s="104"/>
      <c r="G453" s="104"/>
      <c r="H453" s="104"/>
    </row>
    <row r="454" spans="1:8">
      <c r="A454" s="62"/>
      <c r="B454" s="104"/>
      <c r="C454" s="104"/>
      <c r="D454" s="104"/>
      <c r="E454" s="104"/>
      <c r="F454" s="104"/>
      <c r="G454" s="104"/>
      <c r="H454" s="104"/>
    </row>
    <row r="455" spans="1:8">
      <c r="A455" s="62"/>
      <c r="B455" s="104"/>
      <c r="C455" s="104"/>
      <c r="D455" s="104"/>
      <c r="E455" s="104"/>
      <c r="F455" s="104"/>
      <c r="G455" s="104"/>
      <c r="H455" s="104"/>
    </row>
    <row r="456" spans="1:8">
      <c r="A456" s="62"/>
      <c r="B456" s="104"/>
      <c r="C456" s="104"/>
      <c r="D456" s="104"/>
      <c r="E456" s="104"/>
      <c r="F456" s="104"/>
      <c r="G456" s="104"/>
      <c r="H456" s="104"/>
    </row>
    <row r="457" spans="1:8">
      <c r="A457" s="62"/>
      <c r="B457" s="104"/>
      <c r="C457" s="104"/>
      <c r="D457" s="104"/>
      <c r="E457" s="104"/>
      <c r="F457" s="104"/>
      <c r="G457" s="104"/>
      <c r="H457" s="104"/>
    </row>
    <row r="458" spans="1:8">
      <c r="A458" s="62"/>
      <c r="B458" s="104"/>
      <c r="C458" s="104"/>
      <c r="D458" s="104"/>
      <c r="E458" s="104"/>
      <c r="F458" s="104"/>
      <c r="G458" s="104"/>
      <c r="H458" s="104"/>
    </row>
    <row r="459" spans="1:8">
      <c r="A459" s="62"/>
      <c r="B459" s="104"/>
      <c r="C459" s="104"/>
      <c r="D459" s="104"/>
      <c r="E459" s="104"/>
      <c r="F459" s="104"/>
      <c r="G459" s="104"/>
      <c r="H459" s="104"/>
    </row>
    <row r="460" spans="1:8">
      <c r="A460" s="62"/>
      <c r="B460" s="104"/>
      <c r="C460" s="104"/>
      <c r="D460" s="104"/>
      <c r="E460" s="104"/>
      <c r="F460" s="104"/>
      <c r="G460" s="104"/>
      <c r="H460" s="104"/>
    </row>
    <row r="461" spans="1:8">
      <c r="A461" s="62"/>
      <c r="B461" s="104"/>
      <c r="C461" s="104"/>
      <c r="D461" s="104"/>
      <c r="E461" s="104"/>
      <c r="F461" s="104"/>
      <c r="G461" s="104"/>
      <c r="H461" s="104"/>
    </row>
    <row r="462" spans="1:8">
      <c r="A462" s="62"/>
      <c r="B462" s="104"/>
      <c r="C462" s="104"/>
      <c r="D462" s="104"/>
      <c r="E462" s="104"/>
      <c r="F462" s="104"/>
      <c r="G462" s="104"/>
      <c r="H462" s="104"/>
    </row>
    <row r="463" spans="1:8">
      <c r="A463" s="62"/>
      <c r="B463" s="104"/>
      <c r="C463" s="104"/>
      <c r="D463" s="104"/>
      <c r="E463" s="104"/>
      <c r="F463" s="104"/>
      <c r="G463" s="104"/>
      <c r="H463" s="104"/>
    </row>
    <row r="464" spans="1:8">
      <c r="A464" s="62"/>
      <c r="B464" s="104"/>
      <c r="C464" s="104"/>
      <c r="D464" s="104"/>
      <c r="E464" s="104"/>
      <c r="F464" s="104"/>
      <c r="G464" s="104"/>
      <c r="H464" s="104"/>
    </row>
    <row r="465" spans="1:8">
      <c r="A465" s="62"/>
      <c r="B465" s="104"/>
      <c r="C465" s="104"/>
      <c r="D465" s="104"/>
      <c r="E465" s="104"/>
      <c r="F465" s="104"/>
      <c r="G465" s="104"/>
      <c r="H465" s="104"/>
    </row>
    <row r="466" spans="1:8">
      <c r="A466" s="62"/>
      <c r="B466" s="104"/>
      <c r="C466" s="104"/>
      <c r="D466" s="104"/>
      <c r="E466" s="104"/>
      <c r="F466" s="104"/>
      <c r="G466" s="104"/>
      <c r="H466" s="104"/>
    </row>
    <row r="467" spans="1:8">
      <c r="A467" s="62"/>
      <c r="B467" s="104"/>
      <c r="C467" s="104"/>
      <c r="D467" s="104"/>
      <c r="E467" s="104"/>
      <c r="F467" s="104"/>
      <c r="G467" s="104"/>
      <c r="H467" s="104"/>
    </row>
    <row r="468" spans="1:8">
      <c r="A468" s="62"/>
      <c r="B468" s="104"/>
      <c r="C468" s="104"/>
      <c r="D468" s="104"/>
      <c r="E468" s="104"/>
      <c r="F468" s="104"/>
      <c r="G468" s="104"/>
      <c r="H468" s="104"/>
    </row>
    <row r="469" spans="1:8">
      <c r="A469" s="62"/>
      <c r="B469" s="104"/>
      <c r="C469" s="104"/>
      <c r="D469" s="104"/>
      <c r="E469" s="104"/>
      <c r="F469" s="104"/>
      <c r="G469" s="104"/>
      <c r="H469" s="104"/>
    </row>
    <row r="470" spans="1:8">
      <c r="A470" s="62"/>
      <c r="B470" s="104"/>
      <c r="C470" s="104"/>
      <c r="D470" s="104"/>
      <c r="E470" s="104"/>
      <c r="F470" s="104"/>
      <c r="G470" s="104"/>
      <c r="H470" s="104"/>
    </row>
    <row r="471" spans="1:8">
      <c r="A471" s="62"/>
      <c r="B471" s="104"/>
      <c r="C471" s="104"/>
      <c r="D471" s="104"/>
      <c r="E471" s="104"/>
      <c r="F471" s="104"/>
      <c r="G471" s="104"/>
      <c r="H471" s="104"/>
    </row>
    <row r="472" spans="1:8">
      <c r="A472" s="62"/>
      <c r="B472" s="104"/>
      <c r="C472" s="104"/>
      <c r="D472" s="104"/>
      <c r="E472" s="104"/>
      <c r="F472" s="104"/>
      <c r="G472" s="104"/>
      <c r="H472" s="104"/>
    </row>
    <row r="473" spans="1:8">
      <c r="A473" s="62"/>
      <c r="B473" s="104"/>
      <c r="C473" s="104"/>
      <c r="D473" s="104"/>
      <c r="E473" s="104"/>
      <c r="F473" s="104"/>
      <c r="G473" s="104"/>
      <c r="H473" s="104"/>
    </row>
    <row r="474" spans="1:8">
      <c r="A474" s="62"/>
      <c r="B474" s="104"/>
      <c r="C474" s="104"/>
      <c r="D474" s="104"/>
      <c r="E474" s="104"/>
      <c r="F474" s="104"/>
      <c r="G474" s="104"/>
      <c r="H474" s="104"/>
    </row>
    <row r="475" spans="1:8">
      <c r="A475" s="62"/>
      <c r="B475" s="104"/>
      <c r="C475" s="104"/>
      <c r="D475" s="104"/>
      <c r="E475" s="104"/>
      <c r="F475" s="104"/>
      <c r="G475" s="104"/>
      <c r="H475" s="104"/>
    </row>
    <row r="476" spans="1:8">
      <c r="A476" s="62"/>
      <c r="B476" s="104"/>
      <c r="C476" s="104"/>
      <c r="D476" s="104"/>
      <c r="E476" s="104"/>
      <c r="F476" s="104"/>
      <c r="G476" s="104"/>
      <c r="H476" s="104"/>
    </row>
    <row r="477" spans="1:8">
      <c r="A477" s="62"/>
      <c r="B477" s="104"/>
      <c r="C477" s="104"/>
      <c r="D477" s="104"/>
      <c r="E477" s="104"/>
      <c r="F477" s="104"/>
      <c r="G477" s="104"/>
      <c r="H477" s="104"/>
    </row>
    <row r="478" spans="1:8">
      <c r="A478" s="62"/>
      <c r="B478" s="104"/>
      <c r="C478" s="104"/>
      <c r="D478" s="104"/>
      <c r="E478" s="104"/>
      <c r="F478" s="104"/>
      <c r="G478" s="104"/>
      <c r="H478" s="104"/>
    </row>
    <row r="479" spans="1:8">
      <c r="A479" s="62"/>
      <c r="B479" s="104"/>
      <c r="C479" s="104"/>
      <c r="D479" s="104"/>
      <c r="E479" s="104"/>
      <c r="F479" s="104"/>
      <c r="G479" s="104"/>
      <c r="H479" s="104"/>
    </row>
    <row r="480" spans="1:8">
      <c r="A480" s="62"/>
      <c r="B480" s="104"/>
      <c r="C480" s="104"/>
      <c r="D480" s="104"/>
      <c r="E480" s="104"/>
      <c r="F480" s="104"/>
      <c r="G480" s="104"/>
      <c r="H480" s="104"/>
    </row>
    <row r="481" spans="1:8">
      <c r="A481" s="62"/>
      <c r="B481" s="104"/>
      <c r="C481" s="104"/>
      <c r="D481" s="104"/>
      <c r="E481" s="104"/>
      <c r="F481" s="104"/>
      <c r="G481" s="104"/>
      <c r="H481" s="104"/>
    </row>
    <row r="482" spans="1:8">
      <c r="A482" s="62"/>
      <c r="B482" s="104"/>
      <c r="C482" s="104"/>
      <c r="D482" s="104"/>
      <c r="E482" s="104"/>
      <c r="F482" s="104"/>
      <c r="G482" s="104"/>
      <c r="H482" s="104"/>
    </row>
    <row r="483" spans="1:8">
      <c r="A483" s="62"/>
      <c r="B483" s="104"/>
      <c r="C483" s="104"/>
      <c r="D483" s="104"/>
      <c r="E483" s="104"/>
      <c r="F483" s="104"/>
      <c r="G483" s="104"/>
      <c r="H483" s="104"/>
    </row>
    <row r="484" spans="1:8">
      <c r="A484" s="62"/>
      <c r="B484" s="104"/>
      <c r="C484" s="104"/>
      <c r="D484" s="104"/>
      <c r="E484" s="104"/>
      <c r="F484" s="104"/>
      <c r="G484" s="104"/>
      <c r="H484" s="104"/>
    </row>
    <row r="485" spans="1:8">
      <c r="A485" s="62"/>
      <c r="B485" s="104"/>
      <c r="C485" s="104"/>
      <c r="D485" s="104"/>
      <c r="E485" s="104"/>
      <c r="F485" s="104"/>
      <c r="G485" s="104"/>
      <c r="H485" s="104"/>
    </row>
    <row r="486" spans="1:8">
      <c r="A486" s="62"/>
      <c r="B486" s="104"/>
      <c r="C486" s="104"/>
      <c r="D486" s="104"/>
      <c r="E486" s="104"/>
      <c r="F486" s="104"/>
      <c r="G486" s="104"/>
      <c r="H486" s="104"/>
    </row>
    <row r="487" spans="1:8">
      <c r="A487" s="62"/>
      <c r="B487" s="104"/>
      <c r="C487" s="104"/>
      <c r="D487" s="104"/>
      <c r="E487" s="104"/>
      <c r="F487" s="104"/>
      <c r="G487" s="104"/>
      <c r="H487" s="104"/>
    </row>
    <row r="488" spans="1:8">
      <c r="A488" s="62"/>
      <c r="B488" s="104"/>
      <c r="C488" s="104"/>
      <c r="D488" s="104"/>
      <c r="E488" s="104"/>
      <c r="F488" s="104"/>
      <c r="G488" s="104"/>
      <c r="H488" s="104"/>
    </row>
    <row r="489" spans="1:8">
      <c r="A489" s="62"/>
      <c r="B489" s="104"/>
      <c r="C489" s="104"/>
      <c r="D489" s="104"/>
      <c r="E489" s="104"/>
      <c r="F489" s="104"/>
      <c r="G489" s="104"/>
      <c r="H489" s="104"/>
    </row>
    <row r="490" spans="1:8">
      <c r="A490" s="62"/>
      <c r="B490" s="104"/>
      <c r="C490" s="104"/>
      <c r="D490" s="104"/>
      <c r="E490" s="104"/>
      <c r="F490" s="104"/>
      <c r="G490" s="104"/>
      <c r="H490" s="104"/>
    </row>
    <row r="491" spans="1:8">
      <c r="A491" s="62"/>
      <c r="B491" s="104"/>
      <c r="C491" s="104"/>
      <c r="D491" s="104"/>
      <c r="E491" s="104"/>
      <c r="F491" s="104"/>
      <c r="G491" s="104"/>
      <c r="H491" s="104"/>
    </row>
    <row r="492" spans="1:8">
      <c r="A492" s="62"/>
      <c r="B492" s="104"/>
      <c r="C492" s="104"/>
      <c r="D492" s="104"/>
      <c r="E492" s="104"/>
      <c r="F492" s="104"/>
      <c r="G492" s="104"/>
      <c r="H492" s="104"/>
    </row>
    <row r="493" spans="1:8">
      <c r="A493" s="62"/>
      <c r="B493" s="104"/>
      <c r="C493" s="104"/>
      <c r="D493" s="104"/>
      <c r="E493" s="104"/>
      <c r="F493" s="104"/>
      <c r="G493" s="104"/>
      <c r="H493" s="104"/>
    </row>
    <row r="494" spans="1:8">
      <c r="A494" s="62"/>
      <c r="B494" s="104"/>
      <c r="C494" s="104"/>
      <c r="D494" s="104"/>
      <c r="E494" s="104"/>
      <c r="F494" s="104"/>
      <c r="G494" s="104"/>
      <c r="H494" s="104"/>
    </row>
    <row r="495" spans="1:8">
      <c r="A495" s="62"/>
      <c r="B495" s="104"/>
      <c r="C495" s="104"/>
      <c r="D495" s="104"/>
      <c r="E495" s="104"/>
      <c r="F495" s="104"/>
      <c r="G495" s="104"/>
      <c r="H495" s="104"/>
    </row>
    <row r="496" spans="1:8">
      <c r="A496" s="62"/>
      <c r="B496" s="104"/>
      <c r="C496" s="104"/>
      <c r="D496" s="104"/>
      <c r="E496" s="104"/>
      <c r="F496" s="104"/>
      <c r="G496" s="104"/>
      <c r="H496" s="104"/>
    </row>
    <row r="497" spans="1:8">
      <c r="A497" s="62"/>
      <c r="B497" s="104"/>
      <c r="C497" s="104"/>
      <c r="D497" s="104"/>
      <c r="E497" s="104"/>
      <c r="F497" s="104"/>
      <c r="G497" s="104"/>
      <c r="H497" s="104"/>
    </row>
    <row r="498" spans="1:8">
      <c r="A498" s="62"/>
      <c r="B498" s="104"/>
      <c r="C498" s="104"/>
      <c r="D498" s="104"/>
      <c r="E498" s="104"/>
      <c r="F498" s="104"/>
      <c r="G498" s="104"/>
      <c r="H498" s="104"/>
    </row>
    <row r="499" spans="1:8">
      <c r="A499" s="62"/>
      <c r="B499" s="104"/>
      <c r="C499" s="104"/>
      <c r="D499" s="104"/>
      <c r="E499" s="104"/>
      <c r="F499" s="104"/>
      <c r="G499" s="104"/>
      <c r="H499" s="104"/>
    </row>
    <row r="500" spans="1:8">
      <c r="A500" s="62"/>
      <c r="B500" s="104"/>
      <c r="C500" s="104"/>
      <c r="D500" s="104"/>
      <c r="E500" s="104"/>
      <c r="F500" s="104"/>
      <c r="G500" s="104"/>
      <c r="H500" s="104"/>
    </row>
    <row r="501" spans="1:8">
      <c r="A501" s="62"/>
      <c r="B501" s="104"/>
      <c r="C501" s="104"/>
      <c r="D501" s="104"/>
      <c r="E501" s="104"/>
      <c r="F501" s="104"/>
      <c r="G501" s="104"/>
      <c r="H501" s="104"/>
    </row>
    <row r="502" spans="1:8">
      <c r="A502" s="62"/>
      <c r="B502" s="104"/>
      <c r="C502" s="104"/>
      <c r="D502" s="104"/>
      <c r="E502" s="104"/>
      <c r="F502" s="104"/>
      <c r="G502" s="104"/>
      <c r="H502" s="104"/>
    </row>
    <row r="503" spans="1:8">
      <c r="A503" s="62"/>
      <c r="B503" s="104"/>
      <c r="C503" s="104"/>
      <c r="D503" s="104"/>
      <c r="E503" s="104"/>
      <c r="F503" s="104"/>
      <c r="G503" s="104"/>
      <c r="H503" s="104"/>
    </row>
    <row r="504" spans="1:8">
      <c r="A504" s="62"/>
      <c r="B504" s="104"/>
      <c r="C504" s="104"/>
      <c r="D504" s="104"/>
      <c r="E504" s="104"/>
      <c r="F504" s="104"/>
      <c r="G504" s="104"/>
      <c r="H504" s="104"/>
    </row>
    <row r="505" spans="1:8">
      <c r="A505" s="62"/>
      <c r="B505" s="104"/>
      <c r="C505" s="104"/>
      <c r="D505" s="104"/>
      <c r="E505" s="104"/>
      <c r="F505" s="104"/>
      <c r="G505" s="104"/>
      <c r="H505" s="104"/>
    </row>
    <row r="506" spans="1:8">
      <c r="A506" s="62"/>
      <c r="B506" s="104"/>
      <c r="C506" s="104"/>
      <c r="D506" s="104"/>
      <c r="E506" s="104"/>
      <c r="F506" s="104"/>
      <c r="G506" s="104"/>
      <c r="H506" s="104"/>
    </row>
    <row r="507" spans="1:8">
      <c r="A507" s="62"/>
      <c r="B507" s="104"/>
      <c r="C507" s="104"/>
      <c r="D507" s="104"/>
      <c r="E507" s="104"/>
      <c r="F507" s="104"/>
      <c r="G507" s="104"/>
      <c r="H507" s="104"/>
    </row>
    <row r="508" spans="1:8">
      <c r="A508" s="62"/>
      <c r="B508" s="104"/>
      <c r="C508" s="104"/>
      <c r="D508" s="104"/>
      <c r="E508" s="104"/>
      <c r="F508" s="104"/>
      <c r="G508" s="104"/>
      <c r="H508" s="104"/>
    </row>
    <row r="509" spans="1:8">
      <c r="A509" s="62"/>
      <c r="B509" s="104"/>
      <c r="C509" s="104"/>
      <c r="D509" s="104"/>
      <c r="E509" s="104"/>
      <c r="F509" s="104"/>
      <c r="G509" s="104"/>
      <c r="H509" s="104"/>
    </row>
    <row r="510" spans="1:8">
      <c r="A510" s="62"/>
      <c r="B510" s="104"/>
      <c r="C510" s="104"/>
      <c r="D510" s="104"/>
      <c r="E510" s="104"/>
      <c r="F510" s="104"/>
      <c r="G510" s="104"/>
      <c r="H510" s="104"/>
    </row>
    <row r="511" spans="1:8">
      <c r="A511" s="62"/>
      <c r="B511" s="104"/>
      <c r="C511" s="104"/>
      <c r="D511" s="104"/>
      <c r="E511" s="104"/>
      <c r="F511" s="104"/>
      <c r="G511" s="104"/>
      <c r="H511" s="104"/>
    </row>
    <row r="512" spans="1:8">
      <c r="A512" s="62"/>
      <c r="B512" s="104"/>
      <c r="C512" s="104"/>
      <c r="D512" s="104"/>
      <c r="E512" s="104"/>
      <c r="F512" s="104"/>
      <c r="G512" s="104"/>
      <c r="H512" s="104"/>
    </row>
  </sheetData>
  <mergeCells count="6">
    <mergeCell ref="D1:H3"/>
    <mergeCell ref="A4:C4"/>
    <mergeCell ref="D4:H4"/>
    <mergeCell ref="A5:C5"/>
    <mergeCell ref="D5:G5"/>
    <mergeCell ref="H5:H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4" orientation="portrait" r:id="rId1"/>
  <headerFooter>
    <oddFooter>&amp;L&amp;"Calibri,Regular"&amp;12&amp;K184782&amp;F&amp;C&amp;"Calibri,Regular"&amp;12&amp;K184782&amp;A&amp;R&amp;"Calibri,Regular"&amp;12&amp;K184782&amp;P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>
    <pageSetUpPr fitToPage="1"/>
  </sheetPr>
  <dimension ref="A1:I513"/>
  <sheetViews>
    <sheetView showGridLines="0" workbookViewId="0">
      <pane ySplit="2415" topLeftCell="A199" activePane="bottomLeft"/>
      <selection activeCell="A173" sqref="A173"/>
      <selection pane="bottomLeft" activeCell="H212" sqref="H212"/>
    </sheetView>
  </sheetViews>
  <sheetFormatPr defaultRowHeight="12.75"/>
  <cols>
    <col min="1" max="1" width="13.7109375" style="67" customWidth="1"/>
    <col min="2" max="2" width="10.140625" style="67" bestFit="1" customWidth="1"/>
    <col min="3" max="3" width="10.140625" style="67" customWidth="1"/>
    <col min="4" max="6" width="9.140625" style="67"/>
    <col min="7" max="7" width="12.85546875" style="67" bestFit="1" customWidth="1"/>
    <col min="8" max="8" width="15.7109375" style="67" customWidth="1"/>
    <col min="9" max="16384" width="9.140625" style="62"/>
  </cols>
  <sheetData>
    <row r="1" spans="1:8" s="67" customFormat="1" ht="16.5" customHeight="1">
      <c r="B1" s="101"/>
      <c r="C1" s="101"/>
      <c r="D1" s="294" t="s">
        <v>251</v>
      </c>
      <c r="E1" s="294"/>
      <c r="F1" s="294"/>
      <c r="G1" s="294"/>
      <c r="H1" s="294"/>
    </row>
    <row r="2" spans="1:8" s="67" customFormat="1" ht="17.25" customHeight="1">
      <c r="A2" s="101"/>
      <c r="B2" s="101"/>
      <c r="C2" s="101"/>
      <c r="D2" s="294"/>
      <c r="E2" s="294"/>
      <c r="F2" s="294"/>
      <c r="G2" s="294"/>
      <c r="H2" s="294"/>
    </row>
    <row r="3" spans="1:8" s="67" customFormat="1" ht="21" customHeight="1" thickBot="1">
      <c r="A3" s="101"/>
      <c r="B3" s="101"/>
      <c r="C3" s="101"/>
      <c r="D3" s="294"/>
      <c r="E3" s="294"/>
      <c r="F3" s="294"/>
      <c r="G3" s="294"/>
      <c r="H3" s="294"/>
    </row>
    <row r="4" spans="1:8" ht="19.5" thickBot="1">
      <c r="A4" s="301" t="s">
        <v>68</v>
      </c>
      <c r="B4" s="302"/>
      <c r="C4" s="302"/>
      <c r="D4" s="303" t="s">
        <v>61</v>
      </c>
      <c r="E4" s="303"/>
      <c r="F4" s="303"/>
      <c r="G4" s="303" t="s">
        <v>6</v>
      </c>
      <c r="H4" s="304"/>
    </row>
    <row r="5" spans="1:8" ht="18" customHeight="1" thickBot="1">
      <c r="A5" s="296" t="s">
        <v>56</v>
      </c>
      <c r="B5" s="297"/>
      <c r="C5" s="297"/>
      <c r="D5" s="298" t="s">
        <v>57</v>
      </c>
      <c r="E5" s="299"/>
      <c r="F5" s="299"/>
      <c r="G5" s="300"/>
      <c r="H5" s="295" t="s">
        <v>58</v>
      </c>
    </row>
    <row r="6" spans="1:8" ht="15.75" customHeight="1" thickBot="1">
      <c r="A6" s="126" t="s">
        <v>109</v>
      </c>
      <c r="B6" s="127" t="s">
        <v>7</v>
      </c>
      <c r="C6" s="127" t="s">
        <v>4</v>
      </c>
      <c r="D6" s="127" t="s">
        <v>14</v>
      </c>
      <c r="E6" s="127" t="s">
        <v>15</v>
      </c>
      <c r="F6" s="127" t="s">
        <v>16</v>
      </c>
      <c r="G6" s="127" t="s">
        <v>17</v>
      </c>
      <c r="H6" s="295"/>
    </row>
    <row r="7" spans="1:8" s="102" customFormat="1" ht="20.25" customHeight="1" thickBot="1">
      <c r="A7" s="136" t="s">
        <v>67</v>
      </c>
      <c r="B7" s="134"/>
      <c r="C7" s="134"/>
      <c r="D7" s="134"/>
      <c r="E7" s="134"/>
      <c r="F7" s="134"/>
      <c r="G7" s="134"/>
      <c r="H7" s="135"/>
    </row>
    <row r="8" spans="1:8" ht="15" hidden="1">
      <c r="A8" s="217" t="s">
        <v>113</v>
      </c>
      <c r="B8" s="227">
        <v>8.48</v>
      </c>
      <c r="C8" s="219">
        <f>100*B8/B$8</f>
        <v>100</v>
      </c>
      <c r="D8" s="219"/>
      <c r="E8" s="219"/>
      <c r="F8" s="219"/>
      <c r="G8" s="220"/>
      <c r="H8" s="221">
        <f>B$211/B8</f>
        <v>2.3540725998497045</v>
      </c>
    </row>
    <row r="9" spans="1:8" ht="15" hidden="1">
      <c r="A9" s="222" t="s">
        <v>114</v>
      </c>
      <c r="B9" s="173">
        <v>8.48</v>
      </c>
      <c r="C9" s="165">
        <f t="shared" ref="C9:C106" si="0">100*B9/B$8</f>
        <v>100</v>
      </c>
      <c r="D9" s="165">
        <f t="shared" ref="D9:D26" si="1">100*(B9/B8-1)</f>
        <v>0</v>
      </c>
      <c r="E9" s="165"/>
      <c r="F9" s="165"/>
      <c r="G9" s="225"/>
      <c r="H9" s="174">
        <f>B$211/B9</f>
        <v>2.3540725998497045</v>
      </c>
    </row>
    <row r="10" spans="1:8" ht="15" hidden="1">
      <c r="A10" s="222" t="s">
        <v>115</v>
      </c>
      <c r="B10" s="173">
        <v>8.48</v>
      </c>
      <c r="C10" s="165">
        <f t="shared" si="0"/>
        <v>100</v>
      </c>
      <c r="D10" s="165">
        <f t="shared" si="1"/>
        <v>0</v>
      </c>
      <c r="E10" s="165"/>
      <c r="F10" s="165"/>
      <c r="G10" s="225"/>
      <c r="H10" s="174">
        <f>B$211/B10</f>
        <v>2.3540725998497045</v>
      </c>
    </row>
    <row r="11" spans="1:8" ht="15" hidden="1">
      <c r="A11" s="222" t="s">
        <v>116</v>
      </c>
      <c r="B11" s="173">
        <v>8.48</v>
      </c>
      <c r="C11" s="165">
        <f t="shared" si="0"/>
        <v>100</v>
      </c>
      <c r="D11" s="165">
        <f t="shared" si="1"/>
        <v>0</v>
      </c>
      <c r="E11" s="165">
        <f t="shared" ref="E11:E16" si="2">100*(B11/B$10-1)</f>
        <v>0</v>
      </c>
      <c r="F11" s="165"/>
      <c r="G11" s="225"/>
      <c r="H11" s="174">
        <f>B$211/B11</f>
        <v>2.3540725998497045</v>
      </c>
    </row>
    <row r="12" spans="1:8" ht="15" hidden="1">
      <c r="A12" s="222" t="s">
        <v>117</v>
      </c>
      <c r="B12" s="173">
        <v>8.48</v>
      </c>
      <c r="C12" s="165">
        <f t="shared" si="0"/>
        <v>100</v>
      </c>
      <c r="D12" s="165">
        <f t="shared" si="1"/>
        <v>0</v>
      </c>
      <c r="E12" s="165">
        <f t="shared" si="2"/>
        <v>0</v>
      </c>
      <c r="F12" s="165"/>
      <c r="G12" s="225"/>
      <c r="H12" s="174">
        <f>B$211/B12</f>
        <v>2.3540725998497045</v>
      </c>
    </row>
    <row r="13" spans="1:8" ht="15" hidden="1">
      <c r="A13" s="222" t="s">
        <v>118</v>
      </c>
      <c r="B13" s="173">
        <v>8.5</v>
      </c>
      <c r="C13" s="165">
        <f t="shared" si="0"/>
        <v>100.23584905660377</v>
      </c>
      <c r="D13" s="165">
        <f t="shared" si="1"/>
        <v>0.23584905660376521</v>
      </c>
      <c r="E13" s="165">
        <f t="shared" si="2"/>
        <v>0.23584905660376521</v>
      </c>
      <c r="F13" s="165"/>
      <c r="G13" s="225"/>
      <c r="H13" s="174">
        <f>B$211/B13</f>
        <v>2.3485336054971171</v>
      </c>
    </row>
    <row r="14" spans="1:8" ht="15" hidden="1">
      <c r="A14" s="222" t="s">
        <v>119</v>
      </c>
      <c r="B14" s="173">
        <v>8.5</v>
      </c>
      <c r="C14" s="165">
        <f t="shared" si="0"/>
        <v>100.23584905660377</v>
      </c>
      <c r="D14" s="165">
        <f t="shared" si="1"/>
        <v>0</v>
      </c>
      <c r="E14" s="165">
        <f t="shared" si="2"/>
        <v>0.23584905660376521</v>
      </c>
      <c r="F14" s="165"/>
      <c r="G14" s="225"/>
      <c r="H14" s="174">
        <f>B$211/B14</f>
        <v>2.3485336054971171</v>
      </c>
    </row>
    <row r="15" spans="1:8" ht="13.5" hidden="1" customHeight="1">
      <c r="A15" s="222" t="s">
        <v>120</v>
      </c>
      <c r="B15" s="173">
        <v>8.65</v>
      </c>
      <c r="C15" s="165">
        <f t="shared" si="0"/>
        <v>102.00471698113208</v>
      </c>
      <c r="D15" s="165">
        <f t="shared" si="1"/>
        <v>1.7647058823529349</v>
      </c>
      <c r="E15" s="165">
        <f t="shared" si="2"/>
        <v>2.0047169811320709</v>
      </c>
      <c r="F15" s="165"/>
      <c r="G15" s="225"/>
      <c r="H15" s="174">
        <f>B$211/B15</f>
        <v>2.3078075892168202</v>
      </c>
    </row>
    <row r="16" spans="1:8" ht="15" hidden="1">
      <c r="A16" s="222" t="s">
        <v>121</v>
      </c>
      <c r="B16" s="173">
        <v>8.65</v>
      </c>
      <c r="C16" s="165">
        <f t="shared" si="0"/>
        <v>102.00471698113208</v>
      </c>
      <c r="D16" s="165">
        <f t="shared" si="1"/>
        <v>0</v>
      </c>
      <c r="E16" s="165">
        <f t="shared" si="2"/>
        <v>2.0047169811320709</v>
      </c>
      <c r="F16" s="165"/>
      <c r="G16" s="225"/>
      <c r="H16" s="174">
        <f>B$211/B16</f>
        <v>2.3078075892168202</v>
      </c>
    </row>
    <row r="17" spans="1:8" ht="15" hidden="1">
      <c r="A17" s="222" t="s">
        <v>122</v>
      </c>
      <c r="B17" s="173">
        <v>8.8800000000000008</v>
      </c>
      <c r="C17" s="165">
        <f t="shared" si="0"/>
        <v>104.71698113207547</v>
      </c>
      <c r="D17" s="165">
        <f t="shared" si="1"/>
        <v>2.6589595375722697</v>
      </c>
      <c r="E17" s="165">
        <f t="shared" ref="E17:E22" si="3">100*(B17/B$10-1)</f>
        <v>4.7169811320754818</v>
      </c>
      <c r="F17" s="165"/>
      <c r="G17" s="225"/>
      <c r="H17" s="174">
        <f>B$211/B17</f>
        <v>2.2480332935501681</v>
      </c>
    </row>
    <row r="18" spans="1:8" ht="15" hidden="1">
      <c r="A18" s="222" t="s">
        <v>123</v>
      </c>
      <c r="B18" s="173">
        <v>8.98</v>
      </c>
      <c r="C18" s="165">
        <f t="shared" si="0"/>
        <v>105.89622641509433</v>
      </c>
      <c r="D18" s="165">
        <f t="shared" si="1"/>
        <v>1.1261261261261257</v>
      </c>
      <c r="E18" s="165">
        <f t="shared" si="3"/>
        <v>5.89622641509433</v>
      </c>
      <c r="F18" s="165"/>
      <c r="G18" s="225"/>
      <c r="H18" s="174">
        <f>B$211/B18</f>
        <v>2.2229995152255562</v>
      </c>
    </row>
    <row r="19" spans="1:8" ht="15" hidden="1">
      <c r="A19" s="222" t="s">
        <v>124</v>
      </c>
      <c r="B19" s="173">
        <v>9.1590000000000007</v>
      </c>
      <c r="C19" s="165">
        <f t="shared" si="0"/>
        <v>108.00707547169812</v>
      </c>
      <c r="D19" s="165">
        <f t="shared" si="1"/>
        <v>1.9933184855233987</v>
      </c>
      <c r="E19" s="165">
        <f t="shared" si="3"/>
        <v>8.0070754716981227</v>
      </c>
      <c r="F19" s="226"/>
      <c r="G19" s="185"/>
      <c r="H19" s="174">
        <f>B$211/B19</f>
        <v>2.1795540612212569</v>
      </c>
    </row>
    <row r="20" spans="1:8" ht="15" hidden="1">
      <c r="A20" s="222" t="s">
        <v>125</v>
      </c>
      <c r="B20" s="173">
        <v>8.98</v>
      </c>
      <c r="C20" s="165">
        <f t="shared" si="0"/>
        <v>105.89622641509433</v>
      </c>
      <c r="D20" s="165">
        <f t="shared" si="1"/>
        <v>-1.9543618298940912</v>
      </c>
      <c r="E20" s="165">
        <f t="shared" si="3"/>
        <v>5.89622641509433</v>
      </c>
      <c r="F20" s="226">
        <f>(100*(B20/B8-1))</f>
        <v>5.89622641509433</v>
      </c>
      <c r="G20" s="185"/>
      <c r="H20" s="174">
        <f>B$211/B20</f>
        <v>2.2229995152255562</v>
      </c>
    </row>
    <row r="21" spans="1:8" ht="15" hidden="1">
      <c r="A21" s="222" t="s">
        <v>126</v>
      </c>
      <c r="B21" s="173">
        <v>8.98</v>
      </c>
      <c r="C21" s="165">
        <f t="shared" si="0"/>
        <v>105.89622641509433</v>
      </c>
      <c r="D21" s="165">
        <f t="shared" si="1"/>
        <v>0</v>
      </c>
      <c r="E21" s="165">
        <f t="shared" si="3"/>
        <v>5.89622641509433</v>
      </c>
      <c r="F21" s="226">
        <f t="shared" ref="F21:F31" si="4">(100*(B21/B9-1))</f>
        <v>5.89622641509433</v>
      </c>
      <c r="G21" s="185"/>
      <c r="H21" s="174">
        <f>B$211/B21</f>
        <v>2.2229995152255562</v>
      </c>
    </row>
    <row r="22" spans="1:8" ht="15" hidden="1">
      <c r="A22" s="222" t="s">
        <v>127</v>
      </c>
      <c r="B22" s="173">
        <v>9.0220000000000002</v>
      </c>
      <c r="C22" s="165">
        <f t="shared" si="0"/>
        <v>106.39150943396227</v>
      </c>
      <c r="D22" s="165">
        <f t="shared" si="1"/>
        <v>0.46770601336303397</v>
      </c>
      <c r="E22" s="165">
        <f t="shared" si="3"/>
        <v>6.3915094339622724</v>
      </c>
      <c r="F22" s="226">
        <f t="shared" si="4"/>
        <v>6.3915094339622724</v>
      </c>
      <c r="G22" s="185"/>
      <c r="H22" s="174">
        <f>B$211/B22</f>
        <v>2.2126508143122914</v>
      </c>
    </row>
    <row r="23" spans="1:8" ht="15" hidden="1">
      <c r="A23" s="222" t="s">
        <v>128</v>
      </c>
      <c r="B23" s="173">
        <v>9.02</v>
      </c>
      <c r="C23" s="165">
        <f t="shared" si="0"/>
        <v>106.36792452830188</v>
      </c>
      <c r="D23" s="165">
        <f t="shared" si="1"/>
        <v>-2.2168033695413314E-2</v>
      </c>
      <c r="E23" s="165">
        <f t="shared" ref="E23:E29" si="5">100*(B23/B$22-1)</f>
        <v>-2.2168033695413314E-2</v>
      </c>
      <c r="F23" s="226">
        <f t="shared" si="4"/>
        <v>6.3679245283018826</v>
      </c>
      <c r="G23" s="185"/>
      <c r="H23" s="174">
        <f>B$211/B23</f>
        <v>2.2131414242489464</v>
      </c>
    </row>
    <row r="24" spans="1:8" ht="15" hidden="1">
      <c r="A24" s="222" t="s">
        <v>129</v>
      </c>
      <c r="B24" s="173">
        <v>9.02</v>
      </c>
      <c r="C24" s="165">
        <f t="shared" si="0"/>
        <v>106.36792452830188</v>
      </c>
      <c r="D24" s="165">
        <f t="shared" si="1"/>
        <v>0</v>
      </c>
      <c r="E24" s="165">
        <f t="shared" si="5"/>
        <v>-2.2168033695413314E-2</v>
      </c>
      <c r="F24" s="226">
        <f t="shared" si="4"/>
        <v>6.3679245283018826</v>
      </c>
      <c r="G24" s="185"/>
      <c r="H24" s="174">
        <f>B$211/B24</f>
        <v>2.2131414242489464</v>
      </c>
    </row>
    <row r="25" spans="1:8" ht="15" hidden="1">
      <c r="A25" s="222" t="s">
        <v>130</v>
      </c>
      <c r="B25" s="173">
        <v>9.2100000000000009</v>
      </c>
      <c r="C25" s="165">
        <f t="shared" si="0"/>
        <v>108.60849056603774</v>
      </c>
      <c r="D25" s="165">
        <f t="shared" si="1"/>
        <v>2.106430155210659</v>
      </c>
      <c r="E25" s="165">
        <f t="shared" si="5"/>
        <v>2.0837951673686517</v>
      </c>
      <c r="F25" s="226">
        <f t="shared" si="4"/>
        <v>8.3529411764706083</v>
      </c>
      <c r="G25" s="185"/>
      <c r="H25" s="174">
        <f>B$211/B25</f>
        <v>2.167484869351302</v>
      </c>
    </row>
    <row r="26" spans="1:8" ht="15" hidden="1">
      <c r="A26" s="222" t="s">
        <v>131</v>
      </c>
      <c r="B26" s="173">
        <v>9.02</v>
      </c>
      <c r="C26" s="165">
        <f t="shared" si="0"/>
        <v>106.36792452830188</v>
      </c>
      <c r="D26" s="165">
        <f t="shared" si="1"/>
        <v>-2.0629750271444203</v>
      </c>
      <c r="E26" s="165">
        <f t="shared" si="5"/>
        <v>-2.2168033695413314E-2</v>
      </c>
      <c r="F26" s="226">
        <f t="shared" si="4"/>
        <v>6.1176470588235166</v>
      </c>
      <c r="G26" s="185"/>
      <c r="H26" s="174">
        <f>B$211/B26</f>
        <v>2.2131414242489464</v>
      </c>
    </row>
    <row r="27" spans="1:8" ht="15" hidden="1">
      <c r="A27" s="222" t="s">
        <v>132</v>
      </c>
      <c r="B27" s="173">
        <v>9.24</v>
      </c>
      <c r="C27" s="165">
        <f t="shared" si="0"/>
        <v>108.9622641509434</v>
      </c>
      <c r="D27" s="165">
        <f t="shared" ref="D27:D32" si="6">100*(B27/B26-1)</f>
        <v>2.4390243902439046</v>
      </c>
      <c r="E27" s="165">
        <f t="shared" si="5"/>
        <v>2.4163156727998292</v>
      </c>
      <c r="F27" s="226">
        <f t="shared" si="4"/>
        <v>6.8208092485549043</v>
      </c>
      <c r="G27" s="185"/>
      <c r="H27" s="174">
        <f>B$211/B27</f>
        <v>2.1604475808144477</v>
      </c>
    </row>
    <row r="28" spans="1:8" ht="15" hidden="1">
      <c r="A28" s="222" t="s">
        <v>133</v>
      </c>
      <c r="B28" s="173">
        <v>9.24</v>
      </c>
      <c r="C28" s="165">
        <f t="shared" si="0"/>
        <v>108.9622641509434</v>
      </c>
      <c r="D28" s="165">
        <f t="shared" si="6"/>
        <v>0</v>
      </c>
      <c r="E28" s="165">
        <f t="shared" si="5"/>
        <v>2.4163156727998292</v>
      </c>
      <c r="F28" s="226">
        <f t="shared" si="4"/>
        <v>6.8208092485549043</v>
      </c>
      <c r="G28" s="185"/>
      <c r="H28" s="174">
        <f>B$211/B28</f>
        <v>2.1604475808144477</v>
      </c>
    </row>
    <row r="29" spans="1:8" ht="15" hidden="1">
      <c r="A29" s="222" t="s">
        <v>134</v>
      </c>
      <c r="B29" s="173">
        <v>9.67</v>
      </c>
      <c r="C29" s="165">
        <f t="shared" si="0"/>
        <v>114.03301886792453</v>
      </c>
      <c r="D29" s="165">
        <f t="shared" si="6"/>
        <v>4.6536796536796432</v>
      </c>
      <c r="E29" s="165">
        <f t="shared" si="5"/>
        <v>7.1824429173132254</v>
      </c>
      <c r="F29" s="226">
        <f t="shared" si="4"/>
        <v>8.8963963963963888</v>
      </c>
      <c r="G29" s="185"/>
      <c r="H29" s="174">
        <f>B$211/B29</f>
        <v>2.0643780399922953</v>
      </c>
    </row>
    <row r="30" spans="1:8" ht="15" hidden="1">
      <c r="A30" s="222" t="s">
        <v>135</v>
      </c>
      <c r="B30" s="173">
        <v>9.68</v>
      </c>
      <c r="C30" s="165">
        <f t="shared" si="0"/>
        <v>114.15094339622641</v>
      </c>
      <c r="D30" s="165">
        <f t="shared" si="6"/>
        <v>0.10341261633919352</v>
      </c>
      <c r="E30" s="165">
        <f>100*(B30/B$22-1)</f>
        <v>7.2932830857902919</v>
      </c>
      <c r="F30" s="226">
        <f t="shared" si="4"/>
        <v>7.795100222717144</v>
      </c>
      <c r="G30" s="185"/>
      <c r="H30" s="174">
        <f>B$211/B30</f>
        <v>2.0622454180501544</v>
      </c>
    </row>
    <row r="31" spans="1:8" ht="15" hidden="1">
      <c r="A31" s="222" t="s">
        <v>136</v>
      </c>
      <c r="B31" s="173">
        <v>10.11</v>
      </c>
      <c r="C31" s="165">
        <f t="shared" si="0"/>
        <v>119.22169811320754</v>
      </c>
      <c r="D31" s="165">
        <f t="shared" si="6"/>
        <v>4.4421487603305776</v>
      </c>
      <c r="E31" s="165">
        <f>100*(B31/B$22-1)</f>
        <v>12.059410330303688</v>
      </c>
      <c r="F31" s="226">
        <f t="shared" si="4"/>
        <v>10.383229610219447</v>
      </c>
      <c r="G31" s="185"/>
      <c r="H31" s="174">
        <f>B$211/B31</f>
        <v>1.9745336940381302</v>
      </c>
    </row>
    <row r="32" spans="1:8" ht="15" hidden="1">
      <c r="A32" s="222" t="s">
        <v>137</v>
      </c>
      <c r="B32" s="173">
        <v>9.14</v>
      </c>
      <c r="C32" s="165">
        <f t="shared" si="0"/>
        <v>107.78301886792453</v>
      </c>
      <c r="D32" s="165">
        <f t="shared" si="6"/>
        <v>-9.594460929772497</v>
      </c>
      <c r="E32" s="165">
        <f>100*(B32/B$22-1)</f>
        <v>1.3079139880292745</v>
      </c>
      <c r="F32" s="226">
        <f t="shared" ref="F32:F37" si="7">(100*(B32/B20-1))</f>
        <v>1.7817371937639104</v>
      </c>
      <c r="G32" s="185">
        <f t="shared" ref="G32:G37" si="8">100*(B32/B8-1)</f>
        <v>7.7830188679245405</v>
      </c>
      <c r="H32" s="174">
        <f>B$211/B32</f>
        <v>2.1840848628802512</v>
      </c>
    </row>
    <row r="33" spans="1:8" ht="15" hidden="1">
      <c r="A33" s="222" t="s">
        <v>138</v>
      </c>
      <c r="B33" s="173">
        <v>9.2200000000000006</v>
      </c>
      <c r="C33" s="165">
        <f t="shared" si="0"/>
        <v>108.72641509433963</v>
      </c>
      <c r="D33" s="165">
        <f t="shared" ref="D33:D38" si="9">100*(B33/B32-1)</f>
        <v>0.87527352297593897</v>
      </c>
      <c r="E33" s="165">
        <f>100*(B33/B$22-1)</f>
        <v>2.1946353358457182</v>
      </c>
      <c r="F33" s="226">
        <f t="shared" si="7"/>
        <v>2.6726057906458767</v>
      </c>
      <c r="G33" s="185">
        <f t="shared" si="8"/>
        <v>8.7264150943396235</v>
      </c>
      <c r="H33" s="174">
        <f>B$211/B33</f>
        <v>2.1651340180830254</v>
      </c>
    </row>
    <row r="34" spans="1:8" ht="15" hidden="1">
      <c r="A34" s="222" t="s">
        <v>139</v>
      </c>
      <c r="B34" s="173">
        <v>9.2200000000000006</v>
      </c>
      <c r="C34" s="165">
        <f t="shared" si="0"/>
        <v>108.72641509433963</v>
      </c>
      <c r="D34" s="165">
        <f t="shared" si="9"/>
        <v>0</v>
      </c>
      <c r="E34" s="165">
        <f>100*(B34/B$22-1)</f>
        <v>2.1946353358457182</v>
      </c>
      <c r="F34" s="226">
        <f t="shared" si="7"/>
        <v>2.1946353358457182</v>
      </c>
      <c r="G34" s="185">
        <f t="shared" si="8"/>
        <v>8.7264150943396235</v>
      </c>
      <c r="H34" s="174">
        <f>B$211/B34</f>
        <v>2.1651340180830254</v>
      </c>
    </row>
    <row r="35" spans="1:8" ht="15" hidden="1">
      <c r="A35" s="222" t="s">
        <v>140</v>
      </c>
      <c r="B35" s="173">
        <v>9.2200000000000006</v>
      </c>
      <c r="C35" s="165">
        <f t="shared" si="0"/>
        <v>108.72641509433963</v>
      </c>
      <c r="D35" s="165">
        <f t="shared" si="9"/>
        <v>0</v>
      </c>
      <c r="E35" s="165">
        <f t="shared" ref="E35:E40" si="10">100*(B35/B$34-1)</f>
        <v>0</v>
      </c>
      <c r="F35" s="226">
        <f t="shared" si="7"/>
        <v>2.2172949002217335</v>
      </c>
      <c r="G35" s="185">
        <f t="shared" si="8"/>
        <v>8.7264150943396235</v>
      </c>
      <c r="H35" s="174">
        <f>B$211/B35</f>
        <v>2.1651340180830254</v>
      </c>
    </row>
    <row r="36" spans="1:8" ht="15" hidden="1">
      <c r="A36" s="222" t="s">
        <v>141</v>
      </c>
      <c r="B36" s="173">
        <v>9.2200000000000006</v>
      </c>
      <c r="C36" s="165">
        <f t="shared" si="0"/>
        <v>108.72641509433963</v>
      </c>
      <c r="D36" s="165">
        <f t="shared" si="9"/>
        <v>0</v>
      </c>
      <c r="E36" s="165">
        <f t="shared" si="10"/>
        <v>0</v>
      </c>
      <c r="F36" s="226">
        <f t="shared" si="7"/>
        <v>2.2172949002217335</v>
      </c>
      <c r="G36" s="185">
        <f t="shared" si="8"/>
        <v>8.7264150943396235</v>
      </c>
      <c r="H36" s="174">
        <f>B$211/B36</f>
        <v>2.1651340180830254</v>
      </c>
    </row>
    <row r="37" spans="1:8" ht="15" hidden="1">
      <c r="A37" s="222" t="s">
        <v>142</v>
      </c>
      <c r="B37" s="173">
        <v>9.2200000000000006</v>
      </c>
      <c r="C37" s="165">
        <f t="shared" si="0"/>
        <v>108.72641509433963</v>
      </c>
      <c r="D37" s="165">
        <f t="shared" si="9"/>
        <v>0</v>
      </c>
      <c r="E37" s="165">
        <f t="shared" si="10"/>
        <v>0</v>
      </c>
      <c r="F37" s="226">
        <f t="shared" si="7"/>
        <v>0.10857763300760048</v>
      </c>
      <c r="G37" s="185">
        <f t="shared" si="8"/>
        <v>8.4705882352941195</v>
      </c>
      <c r="H37" s="174">
        <f>B$211/B37</f>
        <v>2.1651340180830254</v>
      </c>
    </row>
    <row r="38" spans="1:8" ht="15" hidden="1">
      <c r="A38" s="222" t="s">
        <v>143</v>
      </c>
      <c r="B38" s="173">
        <v>9.2200000000000006</v>
      </c>
      <c r="C38" s="165">
        <f t="shared" si="0"/>
        <v>108.72641509433963</v>
      </c>
      <c r="D38" s="165">
        <f t="shared" si="9"/>
        <v>0</v>
      </c>
      <c r="E38" s="165">
        <f t="shared" si="10"/>
        <v>0</v>
      </c>
      <c r="F38" s="226">
        <f t="shared" ref="F38:F44" si="11">(100*(B38/B26-1))</f>
        <v>2.2172949002217335</v>
      </c>
      <c r="G38" s="185">
        <f t="shared" ref="G38:G43" si="12">100*(B38/B14-1)</f>
        <v>8.4705882352941195</v>
      </c>
      <c r="H38" s="174">
        <f>B$211/B38</f>
        <v>2.1651340180830254</v>
      </c>
    </row>
    <row r="39" spans="1:8" ht="15" hidden="1">
      <c r="A39" s="222" t="s">
        <v>144</v>
      </c>
      <c r="B39" s="173">
        <v>9.35</v>
      </c>
      <c r="C39" s="165">
        <f t="shared" si="0"/>
        <v>110.25943396226414</v>
      </c>
      <c r="D39" s="165">
        <f t="shared" ref="D39:D44" si="13">100*(B39/B38-1)</f>
        <v>1.4099783080260275</v>
      </c>
      <c r="E39" s="165">
        <f t="shared" si="10"/>
        <v>1.4099783080260275</v>
      </c>
      <c r="F39" s="226">
        <f t="shared" si="11"/>
        <v>1.1904761904761862</v>
      </c>
      <c r="G39" s="185">
        <f t="shared" si="12"/>
        <v>8.0924855491329328</v>
      </c>
      <c r="H39" s="174">
        <f>B$211/B39</f>
        <v>2.1350305504519249</v>
      </c>
    </row>
    <row r="40" spans="1:8" ht="15" hidden="1">
      <c r="A40" s="222" t="s">
        <v>145</v>
      </c>
      <c r="B40" s="173">
        <v>9.35</v>
      </c>
      <c r="C40" s="165">
        <f t="shared" si="0"/>
        <v>110.25943396226414</v>
      </c>
      <c r="D40" s="165">
        <f t="shared" si="13"/>
        <v>0</v>
      </c>
      <c r="E40" s="165">
        <f t="shared" si="10"/>
        <v>1.4099783080260275</v>
      </c>
      <c r="F40" s="226">
        <f t="shared" si="11"/>
        <v>1.1904761904761862</v>
      </c>
      <c r="G40" s="185">
        <f t="shared" si="12"/>
        <v>8.0924855491329328</v>
      </c>
      <c r="H40" s="174">
        <f>B$211/B40</f>
        <v>2.1350305504519249</v>
      </c>
    </row>
    <row r="41" spans="1:8" ht="15" hidden="1">
      <c r="A41" s="222" t="s">
        <v>146</v>
      </c>
      <c r="B41" s="173">
        <v>9.44</v>
      </c>
      <c r="C41" s="165">
        <f t="shared" si="0"/>
        <v>111.32075471698113</v>
      </c>
      <c r="D41" s="165">
        <f t="shared" si="13"/>
        <v>0.96256684491977662</v>
      </c>
      <c r="E41" s="165">
        <f t="shared" ref="E41:E46" si="14">100*(B41/B$34-1)</f>
        <v>2.3861171366594158</v>
      </c>
      <c r="F41" s="226">
        <f t="shared" si="11"/>
        <v>-2.3784901758014509</v>
      </c>
      <c r="G41" s="185">
        <f t="shared" si="12"/>
        <v>6.3063063063062863</v>
      </c>
      <c r="H41" s="174">
        <f>B$211/B41</f>
        <v>2.1146753863056671</v>
      </c>
    </row>
    <row r="42" spans="1:8" ht="15" hidden="1">
      <c r="A42" s="222" t="s">
        <v>147</v>
      </c>
      <c r="B42" s="173">
        <v>9.44</v>
      </c>
      <c r="C42" s="165">
        <f t="shared" si="0"/>
        <v>111.32075471698113</v>
      </c>
      <c r="D42" s="165">
        <f t="shared" si="13"/>
        <v>0</v>
      </c>
      <c r="E42" s="165">
        <f t="shared" si="14"/>
        <v>2.3861171366594158</v>
      </c>
      <c r="F42" s="226">
        <f t="shared" si="11"/>
        <v>-2.4793388429752095</v>
      </c>
      <c r="G42" s="185">
        <f t="shared" si="12"/>
        <v>5.1224944320712673</v>
      </c>
      <c r="H42" s="174">
        <f>B$211/B42</f>
        <v>2.1146753863056671</v>
      </c>
    </row>
    <row r="43" spans="1:8" ht="15" hidden="1">
      <c r="A43" s="222" t="s">
        <v>148</v>
      </c>
      <c r="B43" s="173">
        <v>9.44</v>
      </c>
      <c r="C43" s="165">
        <f t="shared" si="0"/>
        <v>111.32075471698113</v>
      </c>
      <c r="D43" s="165">
        <f t="shared" si="13"/>
        <v>0</v>
      </c>
      <c r="E43" s="165">
        <f t="shared" si="14"/>
        <v>2.3861171366594158</v>
      </c>
      <c r="F43" s="226">
        <f t="shared" si="11"/>
        <v>-6.6271018793274017</v>
      </c>
      <c r="G43" s="185">
        <f t="shared" si="12"/>
        <v>3.0680205262583193</v>
      </c>
      <c r="H43" s="174">
        <f>B$211/B43</f>
        <v>2.1146753863056671</v>
      </c>
    </row>
    <row r="44" spans="1:8" ht="15" hidden="1">
      <c r="A44" s="222" t="s">
        <v>149</v>
      </c>
      <c r="B44" s="173">
        <v>9.44</v>
      </c>
      <c r="C44" s="165">
        <f t="shared" si="0"/>
        <v>111.32075471698113</v>
      </c>
      <c r="D44" s="165">
        <f t="shared" si="13"/>
        <v>0</v>
      </c>
      <c r="E44" s="165">
        <f t="shared" si="14"/>
        <v>2.3861171366594158</v>
      </c>
      <c r="F44" s="226">
        <f t="shared" si="11"/>
        <v>3.2822757111597323</v>
      </c>
      <c r="G44" s="185">
        <f t="shared" ref="G44:G49" si="15">100*(B44/B20-1)</f>
        <v>5.1224944320712673</v>
      </c>
      <c r="H44" s="174">
        <f>B$211/B44</f>
        <v>2.1146753863056671</v>
      </c>
    </row>
    <row r="45" spans="1:8" ht="15" hidden="1">
      <c r="A45" s="222" t="s">
        <v>150</v>
      </c>
      <c r="B45" s="173">
        <v>9.44</v>
      </c>
      <c r="C45" s="165">
        <f t="shared" si="0"/>
        <v>111.32075471698113</v>
      </c>
      <c r="D45" s="165">
        <f t="shared" ref="D45:D50" si="16">100*(B45/B44-1)</f>
        <v>0</v>
      </c>
      <c r="E45" s="165">
        <f t="shared" si="14"/>
        <v>2.3861171366594158</v>
      </c>
      <c r="F45" s="226">
        <f t="shared" ref="F45:F50" si="17">(100*(B45/B33-1))</f>
        <v>2.3861171366594158</v>
      </c>
      <c r="G45" s="185">
        <f t="shared" si="15"/>
        <v>5.1224944320712673</v>
      </c>
      <c r="H45" s="174">
        <f>B$211/B45</f>
        <v>2.1146753863056671</v>
      </c>
    </row>
    <row r="46" spans="1:8" ht="15" hidden="1">
      <c r="A46" s="222" t="s">
        <v>151</v>
      </c>
      <c r="B46" s="173">
        <v>9.44</v>
      </c>
      <c r="C46" s="165">
        <f t="shared" si="0"/>
        <v>111.32075471698113</v>
      </c>
      <c r="D46" s="165">
        <f t="shared" si="16"/>
        <v>0</v>
      </c>
      <c r="E46" s="165">
        <f t="shared" si="14"/>
        <v>2.3861171366594158</v>
      </c>
      <c r="F46" s="226">
        <f t="shared" si="17"/>
        <v>2.3861171366594158</v>
      </c>
      <c r="G46" s="185">
        <f t="shared" si="15"/>
        <v>4.6331190423409385</v>
      </c>
      <c r="H46" s="174">
        <f>B$211/B46</f>
        <v>2.1146753863056671</v>
      </c>
    </row>
    <row r="47" spans="1:8" ht="15" hidden="1">
      <c r="A47" s="222" t="s">
        <v>152</v>
      </c>
      <c r="B47" s="173">
        <v>9.44</v>
      </c>
      <c r="C47" s="165">
        <f t="shared" si="0"/>
        <v>111.32075471698113</v>
      </c>
      <c r="D47" s="165">
        <f t="shared" si="16"/>
        <v>0</v>
      </c>
      <c r="E47" s="165">
        <f t="shared" ref="E47:E52" si="18">100*(B47/B$46-1)</f>
        <v>0</v>
      </c>
      <c r="F47" s="226">
        <f t="shared" si="17"/>
        <v>2.3861171366594158</v>
      </c>
      <c r="G47" s="185">
        <f t="shared" si="15"/>
        <v>4.6563192904656381</v>
      </c>
      <c r="H47" s="174">
        <f>B$211/B47</f>
        <v>2.1146753863056671</v>
      </c>
    </row>
    <row r="48" spans="1:8" ht="15" hidden="1">
      <c r="A48" s="222" t="s">
        <v>153</v>
      </c>
      <c r="B48" s="173">
        <v>9.44</v>
      </c>
      <c r="C48" s="165">
        <f t="shared" si="0"/>
        <v>111.32075471698113</v>
      </c>
      <c r="D48" s="165">
        <f t="shared" si="16"/>
        <v>0</v>
      </c>
      <c r="E48" s="165">
        <f t="shared" si="18"/>
        <v>0</v>
      </c>
      <c r="F48" s="226">
        <f t="shared" si="17"/>
        <v>2.3861171366594158</v>
      </c>
      <c r="G48" s="185">
        <f t="shared" si="15"/>
        <v>4.6563192904656381</v>
      </c>
      <c r="H48" s="174">
        <f>B$211/B48</f>
        <v>2.1146753863056671</v>
      </c>
    </row>
    <row r="49" spans="1:9" ht="15" hidden="1">
      <c r="A49" s="222" t="s">
        <v>154</v>
      </c>
      <c r="B49" s="173">
        <v>9.44</v>
      </c>
      <c r="C49" s="165">
        <f t="shared" si="0"/>
        <v>111.32075471698113</v>
      </c>
      <c r="D49" s="165">
        <f t="shared" si="16"/>
        <v>0</v>
      </c>
      <c r="E49" s="165">
        <f t="shared" si="18"/>
        <v>0</v>
      </c>
      <c r="F49" s="226">
        <f t="shared" si="17"/>
        <v>2.3861171366594158</v>
      </c>
      <c r="G49" s="185">
        <f t="shared" si="15"/>
        <v>2.4972855591747889</v>
      </c>
      <c r="H49" s="174">
        <f>B$211/B49</f>
        <v>2.1146753863056671</v>
      </c>
    </row>
    <row r="50" spans="1:9" ht="15" hidden="1">
      <c r="A50" s="222" t="s">
        <v>155</v>
      </c>
      <c r="B50" s="173">
        <v>9.44</v>
      </c>
      <c r="C50" s="165">
        <f t="shared" si="0"/>
        <v>111.32075471698113</v>
      </c>
      <c r="D50" s="183">
        <f t="shared" si="16"/>
        <v>0</v>
      </c>
      <c r="E50" s="183">
        <f t="shared" si="18"/>
        <v>0</v>
      </c>
      <c r="F50" s="184">
        <f t="shared" si="17"/>
        <v>2.3861171366594158</v>
      </c>
      <c r="G50" s="185">
        <f t="shared" ref="G50:G77" si="19">100*(B50/B26-1)</f>
        <v>4.6563192904656381</v>
      </c>
      <c r="H50" s="174">
        <f>B$211/B50</f>
        <v>2.1146753863056671</v>
      </c>
    </row>
    <row r="51" spans="1:9" ht="15" hidden="1">
      <c r="A51" s="222" t="s">
        <v>156</v>
      </c>
      <c r="B51" s="173">
        <v>9.56</v>
      </c>
      <c r="C51" s="165">
        <f t="shared" si="0"/>
        <v>112.73584905660377</v>
      </c>
      <c r="D51" s="183">
        <f>100*(B51/B50-1)</f>
        <v>1.2711864406779849</v>
      </c>
      <c r="E51" s="183">
        <f t="shared" si="18"/>
        <v>1.2711864406779849</v>
      </c>
      <c r="F51" s="184">
        <f t="shared" ref="F51:F64" si="20">(100*(B51/B39-1))</f>
        <v>2.2459893048128343</v>
      </c>
      <c r="G51" s="185">
        <f t="shared" si="19"/>
        <v>3.463203463203457</v>
      </c>
      <c r="H51" s="174">
        <f>B$211/B51</f>
        <v>2.0881313437997377</v>
      </c>
      <c r="I51" s="62" t="s">
        <v>13</v>
      </c>
    </row>
    <row r="52" spans="1:9" ht="15" hidden="1">
      <c r="A52" s="222" t="s">
        <v>157</v>
      </c>
      <c r="B52" s="173">
        <v>9.56</v>
      </c>
      <c r="C52" s="165">
        <f t="shared" si="0"/>
        <v>112.73584905660377</v>
      </c>
      <c r="D52" s="183">
        <f>100*(B52/B51-1)</f>
        <v>0</v>
      </c>
      <c r="E52" s="183">
        <f t="shared" si="18"/>
        <v>1.2711864406779849</v>
      </c>
      <c r="F52" s="184">
        <f t="shared" si="20"/>
        <v>2.2459893048128343</v>
      </c>
      <c r="G52" s="185">
        <f t="shared" si="19"/>
        <v>3.463203463203457</v>
      </c>
      <c r="H52" s="174">
        <f>B$211/B52</f>
        <v>2.0881313437997377</v>
      </c>
    </row>
    <row r="53" spans="1:9" ht="15" hidden="1">
      <c r="A53" s="222" t="s">
        <v>158</v>
      </c>
      <c r="B53" s="173">
        <v>9.6865409557960191</v>
      </c>
      <c r="C53" s="165">
        <f t="shared" si="0"/>
        <v>114.22807730891532</v>
      </c>
      <c r="D53" s="183">
        <f>100*(B53/B52-1)</f>
        <v>1.3236501652303279</v>
      </c>
      <c r="E53" s="183">
        <f t="shared" ref="E53:E58" si="21">100*(B53/B$46-1)</f>
        <v>2.6116626673307275</v>
      </c>
      <c r="F53" s="184">
        <f t="shared" si="20"/>
        <v>2.6116626673307275</v>
      </c>
      <c r="G53" s="185">
        <f t="shared" si="19"/>
        <v>0.17105435156172799</v>
      </c>
      <c r="H53" s="174">
        <f>B$211/B53</f>
        <v>2.0608528614934265</v>
      </c>
    </row>
    <row r="54" spans="1:9" ht="15" hidden="1">
      <c r="A54" s="222" t="s">
        <v>159</v>
      </c>
      <c r="B54" s="173">
        <v>9.6865409557960191</v>
      </c>
      <c r="C54" s="165">
        <f t="shared" si="0"/>
        <v>114.22807730891532</v>
      </c>
      <c r="D54" s="183">
        <f t="shared" ref="D54:D59" si="22">100*(B54/B53-1)</f>
        <v>0</v>
      </c>
      <c r="E54" s="183">
        <f t="shared" si="21"/>
        <v>2.6116626673307275</v>
      </c>
      <c r="F54" s="184">
        <f t="shared" si="20"/>
        <v>2.6116626673307275</v>
      </c>
      <c r="G54" s="185">
        <f t="shared" si="19"/>
        <v>6.7571857396897528E-2</v>
      </c>
      <c r="H54" s="174">
        <f>B$211/B54</f>
        <v>2.0608528614934265</v>
      </c>
    </row>
    <row r="55" spans="1:9" ht="14.25" hidden="1" customHeight="1">
      <c r="A55" s="222" t="s">
        <v>160</v>
      </c>
      <c r="B55" s="173">
        <v>9.6865409557960191</v>
      </c>
      <c r="C55" s="165">
        <f t="shared" si="0"/>
        <v>114.22807730891532</v>
      </c>
      <c r="D55" s="183">
        <f t="shared" si="22"/>
        <v>0</v>
      </c>
      <c r="E55" s="183">
        <f t="shared" si="21"/>
        <v>2.6116626673307275</v>
      </c>
      <c r="F55" s="184">
        <f t="shared" si="20"/>
        <v>2.6116626673307275</v>
      </c>
      <c r="G55" s="185">
        <f t="shared" si="19"/>
        <v>-4.1885167577050524</v>
      </c>
      <c r="H55" s="174">
        <f>B$211/B55</f>
        <v>2.0608528614934265</v>
      </c>
    </row>
    <row r="56" spans="1:9" ht="14.25" hidden="1" customHeight="1">
      <c r="A56" s="222" t="s">
        <v>161</v>
      </c>
      <c r="B56" s="173">
        <v>9.6865409557960191</v>
      </c>
      <c r="C56" s="165">
        <f t="shared" si="0"/>
        <v>114.22807730891532</v>
      </c>
      <c r="D56" s="183">
        <f t="shared" si="22"/>
        <v>0</v>
      </c>
      <c r="E56" s="183">
        <f t="shared" si="21"/>
        <v>2.6116626673307275</v>
      </c>
      <c r="F56" s="184">
        <f t="shared" si="20"/>
        <v>2.6116626673307275</v>
      </c>
      <c r="G56" s="185">
        <f t="shared" si="19"/>
        <v>5.9796603478776689</v>
      </c>
      <c r="H56" s="174">
        <f>B$211/B56</f>
        <v>2.0608528614934265</v>
      </c>
    </row>
    <row r="57" spans="1:9" ht="14.25" hidden="1" customHeight="1">
      <c r="A57" s="222" t="s">
        <v>162</v>
      </c>
      <c r="B57" s="173">
        <v>9.6865409557960191</v>
      </c>
      <c r="C57" s="165">
        <f t="shared" si="0"/>
        <v>114.22807730891532</v>
      </c>
      <c r="D57" s="183">
        <f t="shared" si="22"/>
        <v>0</v>
      </c>
      <c r="E57" s="183">
        <f t="shared" si="21"/>
        <v>2.6116626673307275</v>
      </c>
      <c r="F57" s="184">
        <f t="shared" si="20"/>
        <v>2.6116626673307275</v>
      </c>
      <c r="G57" s="185">
        <f t="shared" si="19"/>
        <v>5.0600971344470613</v>
      </c>
      <c r="H57" s="174">
        <f>B$211/B57</f>
        <v>2.0608528614934265</v>
      </c>
    </row>
    <row r="58" spans="1:9" ht="14.25" hidden="1" customHeight="1">
      <c r="A58" s="222" t="s">
        <v>163</v>
      </c>
      <c r="B58" s="173">
        <v>9.6865409557960191</v>
      </c>
      <c r="C58" s="165">
        <f t="shared" si="0"/>
        <v>114.22807730891532</v>
      </c>
      <c r="D58" s="183">
        <f t="shared" si="22"/>
        <v>0</v>
      </c>
      <c r="E58" s="183">
        <f t="shared" si="21"/>
        <v>2.6116626673307275</v>
      </c>
      <c r="F58" s="184">
        <f t="shared" si="20"/>
        <v>2.6116626673307275</v>
      </c>
      <c r="G58" s="185">
        <f t="shared" si="19"/>
        <v>5.0600971344470613</v>
      </c>
      <c r="H58" s="174">
        <f>B$211/B58</f>
        <v>2.0608528614934265</v>
      </c>
    </row>
    <row r="59" spans="1:9" ht="14.25" hidden="1" customHeight="1">
      <c r="A59" s="222" t="s">
        <v>164</v>
      </c>
      <c r="B59" s="173">
        <f>[105]Inicial!$C$13</f>
        <v>9.6865409557960191</v>
      </c>
      <c r="C59" s="165">
        <f t="shared" si="0"/>
        <v>114.22807730891532</v>
      </c>
      <c r="D59" s="183">
        <f t="shared" si="22"/>
        <v>0</v>
      </c>
      <c r="E59" s="183">
        <f t="shared" ref="E59:E64" si="23">100*(B59/B$58-1)</f>
        <v>0</v>
      </c>
      <c r="F59" s="184">
        <f t="shared" si="20"/>
        <v>2.6116626673307275</v>
      </c>
      <c r="G59" s="185">
        <f t="shared" si="19"/>
        <v>5.0600971344470613</v>
      </c>
      <c r="H59" s="174">
        <f>B$211/B59</f>
        <v>2.0608528614934265</v>
      </c>
    </row>
    <row r="60" spans="1:9" ht="14.25" hidden="1" customHeight="1">
      <c r="A60" s="222" t="s">
        <v>165</v>
      </c>
      <c r="B60" s="173">
        <f>[106]Inicial!$C$13</f>
        <v>9.6865409557960191</v>
      </c>
      <c r="C60" s="165">
        <f t="shared" si="0"/>
        <v>114.22807730891532</v>
      </c>
      <c r="D60" s="183">
        <f t="shared" ref="D60:D65" si="24">100*(B60/B59-1)</f>
        <v>0</v>
      </c>
      <c r="E60" s="183">
        <f t="shared" si="23"/>
        <v>0</v>
      </c>
      <c r="F60" s="184">
        <f t="shared" si="20"/>
        <v>2.6116626673307275</v>
      </c>
      <c r="G60" s="185">
        <f t="shared" si="19"/>
        <v>5.0600971344470613</v>
      </c>
      <c r="H60" s="174">
        <f>B$211/B60</f>
        <v>2.0608528614934265</v>
      </c>
    </row>
    <row r="61" spans="1:9" ht="14.25" hidden="1" customHeight="1">
      <c r="A61" s="222" t="s">
        <v>166</v>
      </c>
      <c r="B61" s="173">
        <f>[107]Inicial!$C$13</f>
        <v>9.6865409557960191</v>
      </c>
      <c r="C61" s="165">
        <f t="shared" si="0"/>
        <v>114.22807730891532</v>
      </c>
      <c r="D61" s="183">
        <f t="shared" si="24"/>
        <v>0</v>
      </c>
      <c r="E61" s="183">
        <f t="shared" si="23"/>
        <v>0</v>
      </c>
      <c r="F61" s="184">
        <f t="shared" si="20"/>
        <v>2.6116626673307275</v>
      </c>
      <c r="G61" s="185">
        <f t="shared" si="19"/>
        <v>5.0600971344470613</v>
      </c>
      <c r="H61" s="174">
        <f>B$211/B61</f>
        <v>2.0608528614934265</v>
      </c>
    </row>
    <row r="62" spans="1:9" ht="14.25" hidden="1" customHeight="1">
      <c r="A62" s="222" t="s">
        <v>167</v>
      </c>
      <c r="B62" s="173">
        <f>[108]Inicial!$C$13</f>
        <v>9.6865409464730252</v>
      </c>
      <c r="C62" s="165">
        <f t="shared" si="0"/>
        <v>114.22807719897435</v>
      </c>
      <c r="D62" s="183">
        <f t="shared" si="24"/>
        <v>-9.6246888237061512E-8</v>
      </c>
      <c r="E62" s="183">
        <f t="shared" si="23"/>
        <v>-9.6246888237061512E-8</v>
      </c>
      <c r="F62" s="184">
        <f t="shared" si="20"/>
        <v>2.6116625685701944</v>
      </c>
      <c r="G62" s="185">
        <f t="shared" si="19"/>
        <v>5.0600970333299911</v>
      </c>
      <c r="H62" s="174">
        <f>B$211/B62</f>
        <v>2.0608528634769332</v>
      </c>
    </row>
    <row r="63" spans="1:9" ht="14.25" hidden="1" customHeight="1">
      <c r="A63" s="222" t="s">
        <v>168</v>
      </c>
      <c r="B63" s="173">
        <f>[109]Inicial!$C$13</f>
        <v>9.9291785278997473</v>
      </c>
      <c r="C63" s="165">
        <f t="shared" si="0"/>
        <v>117.08936943278003</v>
      </c>
      <c r="D63" s="183">
        <f t="shared" si="24"/>
        <v>2.5048939840084827</v>
      </c>
      <c r="E63" s="183">
        <f t="shared" si="23"/>
        <v>2.5048938853507341</v>
      </c>
      <c r="F63" s="184">
        <f t="shared" si="20"/>
        <v>3.8617000826333348</v>
      </c>
      <c r="G63" s="185">
        <f t="shared" si="19"/>
        <v>6.1944227582860778</v>
      </c>
      <c r="H63" s="174">
        <f>B$211/B63</f>
        <v>2.0104921661578823</v>
      </c>
    </row>
    <row r="64" spans="1:9" ht="14.25" hidden="1" customHeight="1">
      <c r="A64" s="222" t="s">
        <v>169</v>
      </c>
      <c r="B64" s="173">
        <f>[110]Inicial!$C$13</f>
        <v>9.9349762030813356</v>
      </c>
      <c r="C64" s="165">
        <f t="shared" si="0"/>
        <v>117.15773824388367</v>
      </c>
      <c r="D64" s="183">
        <f t="shared" si="24"/>
        <v>5.8390280377151882E-2</v>
      </c>
      <c r="E64" s="183">
        <f t="shared" si="23"/>
        <v>2.5647467802906831</v>
      </c>
      <c r="F64" s="184">
        <f t="shared" si="20"/>
        <v>3.9223452205160658</v>
      </c>
      <c r="G64" s="185">
        <f t="shared" si="19"/>
        <v>6.2564299794795275</v>
      </c>
      <c r="H64" s="174">
        <f>B$211/B64</f>
        <v>2.0093189192072862</v>
      </c>
    </row>
    <row r="65" spans="1:8" ht="14.25" hidden="1" customHeight="1">
      <c r="A65" s="222" t="s">
        <v>170</v>
      </c>
      <c r="B65" s="173">
        <f>[111]Inicial!$C$13</f>
        <v>10.187924773482813</v>
      </c>
      <c r="C65" s="165">
        <f t="shared" si="0"/>
        <v>120.14062232880676</v>
      </c>
      <c r="D65" s="183">
        <f t="shared" si="24"/>
        <v>2.5460410294996461</v>
      </c>
      <c r="E65" s="183">
        <f t="shared" ref="E65:E70" si="25">100*(B65/B$58-1)</f>
        <v>5.1760873151192932</v>
      </c>
      <c r="F65" s="184">
        <f t="shared" ref="F65:F70" si="26">(100*(B65/B53-1))</f>
        <v>5.1760873151192932</v>
      </c>
      <c r="G65" s="185">
        <f t="shared" si="19"/>
        <v>7.9229319224874306</v>
      </c>
      <c r="H65" s="174">
        <f>B$211/B65</f>
        <v>1.9594310019528309</v>
      </c>
    </row>
    <row r="66" spans="1:8" ht="14.25" hidden="1" customHeight="1">
      <c r="A66" s="222" t="s">
        <v>171</v>
      </c>
      <c r="B66" s="173">
        <f>[112]Inicial!$C$13</f>
        <v>10.187924773482813</v>
      </c>
      <c r="C66" s="165">
        <f t="shared" si="0"/>
        <v>120.14062232880676</v>
      </c>
      <c r="D66" s="183">
        <f t="shared" ref="D66:D71" si="27">100*(B66/B65-1)</f>
        <v>0</v>
      </c>
      <c r="E66" s="183">
        <f t="shared" si="25"/>
        <v>5.1760873151192932</v>
      </c>
      <c r="F66" s="184">
        <f t="shared" si="26"/>
        <v>5.1760873151192932</v>
      </c>
      <c r="G66" s="185">
        <f t="shared" si="19"/>
        <v>7.9229319224874306</v>
      </c>
      <c r="H66" s="174">
        <f>B$211/B66</f>
        <v>1.9594310019528309</v>
      </c>
    </row>
    <row r="67" spans="1:8" ht="14.25" hidden="1" customHeight="1">
      <c r="A67" s="222" t="s">
        <v>172</v>
      </c>
      <c r="B67" s="173">
        <f>[113]Inicial!$C$13</f>
        <v>10.187924773482813</v>
      </c>
      <c r="C67" s="165">
        <f t="shared" si="0"/>
        <v>120.14062232880676</v>
      </c>
      <c r="D67" s="183">
        <f t="shared" si="27"/>
        <v>0</v>
      </c>
      <c r="E67" s="183">
        <f t="shared" si="25"/>
        <v>5.1760873151192932</v>
      </c>
      <c r="F67" s="184">
        <f t="shared" si="26"/>
        <v>5.1760873151192932</v>
      </c>
      <c r="G67" s="185">
        <f t="shared" si="19"/>
        <v>7.9229319224874306</v>
      </c>
      <c r="H67" s="174">
        <f>B$211/B67</f>
        <v>1.9594310019528309</v>
      </c>
    </row>
    <row r="68" spans="1:8" ht="14.25" hidden="1" customHeight="1">
      <c r="A68" s="222" t="s">
        <v>173</v>
      </c>
      <c r="B68" s="173">
        <f>[114]Inicial!$C$13</f>
        <v>10.187924773482813</v>
      </c>
      <c r="C68" s="165">
        <f t="shared" si="0"/>
        <v>120.14062232880676</v>
      </c>
      <c r="D68" s="183">
        <f t="shared" si="27"/>
        <v>0</v>
      </c>
      <c r="E68" s="183">
        <f t="shared" si="25"/>
        <v>5.1760873151192932</v>
      </c>
      <c r="F68" s="184">
        <f t="shared" si="26"/>
        <v>5.1760873151192932</v>
      </c>
      <c r="G68" s="185">
        <f t="shared" si="19"/>
        <v>7.9229319224874306</v>
      </c>
      <c r="H68" s="174">
        <f>B$211/B68</f>
        <v>1.9594310019528309</v>
      </c>
    </row>
    <row r="69" spans="1:8" ht="14.25" hidden="1" customHeight="1">
      <c r="A69" s="222" t="s">
        <v>174</v>
      </c>
      <c r="B69" s="173">
        <f>[115]Inicial!$C$13</f>
        <v>10.187924773482813</v>
      </c>
      <c r="C69" s="165">
        <f t="shared" si="0"/>
        <v>120.14062232880676</v>
      </c>
      <c r="D69" s="183">
        <f t="shared" si="27"/>
        <v>0</v>
      </c>
      <c r="E69" s="183">
        <f t="shared" si="25"/>
        <v>5.1760873151192932</v>
      </c>
      <c r="F69" s="184">
        <f t="shared" si="26"/>
        <v>5.1760873151192932</v>
      </c>
      <c r="G69" s="185">
        <f t="shared" si="19"/>
        <v>7.9229319224874306</v>
      </c>
      <c r="H69" s="174">
        <f>B$211/B69</f>
        <v>1.9594310019528309</v>
      </c>
    </row>
    <row r="70" spans="1:8" ht="14.25" hidden="1" customHeight="1">
      <c r="A70" s="222" t="s">
        <v>175</v>
      </c>
      <c r="B70" s="173">
        <f>[116]Inicial!$C$13</f>
        <v>10.187924773482813</v>
      </c>
      <c r="C70" s="165">
        <f t="shared" si="0"/>
        <v>120.14062232880676</v>
      </c>
      <c r="D70" s="183">
        <f t="shared" si="27"/>
        <v>0</v>
      </c>
      <c r="E70" s="183">
        <f t="shared" si="25"/>
        <v>5.1760873151192932</v>
      </c>
      <c r="F70" s="184">
        <f t="shared" si="26"/>
        <v>5.1760873151192932</v>
      </c>
      <c r="G70" s="185">
        <f t="shared" si="19"/>
        <v>7.9229319224874306</v>
      </c>
      <c r="H70" s="174">
        <f>B$211/B70</f>
        <v>1.9594310019528309</v>
      </c>
    </row>
    <row r="71" spans="1:8" ht="14.25" hidden="1" customHeight="1">
      <c r="A71" s="222" t="s">
        <v>176</v>
      </c>
      <c r="B71" s="173">
        <f>[117]Inicial!$C$13</f>
        <v>10.189603432901711</v>
      </c>
      <c r="C71" s="165">
        <f t="shared" si="0"/>
        <v>120.16041784082205</v>
      </c>
      <c r="D71" s="183">
        <f t="shared" si="27"/>
        <v>1.6476951452060185E-2</v>
      </c>
      <c r="E71" s="183">
        <f t="shared" ref="E71:E76" si="28">100*(B71/B$58-1)</f>
        <v>5.1934171279653718</v>
      </c>
      <c r="F71" s="184">
        <f t="shared" ref="F71:F76" si="29">(100*(B71/B59-1))</f>
        <v>5.1934171279653718</v>
      </c>
      <c r="G71" s="185">
        <f t="shared" si="19"/>
        <v>7.9407143315859186</v>
      </c>
      <c r="H71" s="174">
        <f>B$211/B71</f>
        <v>1.9591082006457174</v>
      </c>
    </row>
    <row r="72" spans="1:8" ht="14.25" hidden="1" customHeight="1">
      <c r="A72" s="222" t="s">
        <v>177</v>
      </c>
      <c r="B72" s="173">
        <f>[118]Inicial!$C$13</f>
        <v>10.189603432901711</v>
      </c>
      <c r="C72" s="165">
        <f t="shared" si="0"/>
        <v>120.16041784082205</v>
      </c>
      <c r="D72" s="183">
        <f t="shared" ref="D72:D77" si="30">100*(B72/B71-1)</f>
        <v>0</v>
      </c>
      <c r="E72" s="183">
        <f t="shared" si="28"/>
        <v>5.1934171279653718</v>
      </c>
      <c r="F72" s="184">
        <f t="shared" si="29"/>
        <v>5.1934171279653718</v>
      </c>
      <c r="G72" s="185">
        <f t="shared" si="19"/>
        <v>7.9407143315859186</v>
      </c>
      <c r="H72" s="174">
        <f>B$211/B72</f>
        <v>1.9591082006457174</v>
      </c>
    </row>
    <row r="73" spans="1:8" ht="14.25" hidden="1" customHeight="1">
      <c r="A73" s="222" t="s">
        <v>178</v>
      </c>
      <c r="B73" s="173">
        <f>[119]Inicial!$C$13</f>
        <v>10.189603432901711</v>
      </c>
      <c r="C73" s="165">
        <f t="shared" si="0"/>
        <v>120.16041784082205</v>
      </c>
      <c r="D73" s="183">
        <f t="shared" si="30"/>
        <v>0</v>
      </c>
      <c r="E73" s="183">
        <f t="shared" si="28"/>
        <v>5.1934171279653718</v>
      </c>
      <c r="F73" s="184">
        <f t="shared" si="29"/>
        <v>5.1934171279653718</v>
      </c>
      <c r="G73" s="185">
        <f t="shared" si="19"/>
        <v>7.9407143315859186</v>
      </c>
      <c r="H73" s="174">
        <f>B$211/B73</f>
        <v>1.9591082006457174</v>
      </c>
    </row>
    <row r="74" spans="1:8" ht="14.25" hidden="1" customHeight="1">
      <c r="A74" s="222" t="s">
        <v>179</v>
      </c>
      <c r="B74" s="173">
        <f>[120]Inicial!$C$13</f>
        <v>10.189603432901711</v>
      </c>
      <c r="C74" s="165">
        <f t="shared" si="0"/>
        <v>120.16041784082205</v>
      </c>
      <c r="D74" s="183">
        <f t="shared" si="30"/>
        <v>0</v>
      </c>
      <c r="E74" s="183">
        <f t="shared" si="28"/>
        <v>5.1934171279653718</v>
      </c>
      <c r="F74" s="184">
        <f t="shared" si="29"/>
        <v>5.1934172292107617</v>
      </c>
      <c r="G74" s="185">
        <f t="shared" si="19"/>
        <v>7.9407143315859186</v>
      </c>
      <c r="H74" s="174">
        <f>B$211/B74</f>
        <v>1.9591082006457174</v>
      </c>
    </row>
    <row r="75" spans="1:8" ht="14.25" hidden="1" customHeight="1">
      <c r="A75" s="222" t="s">
        <v>180</v>
      </c>
      <c r="B75" s="173">
        <f>[121]Inicial!$C$13</f>
        <v>10.428772136786147</v>
      </c>
      <c r="C75" s="165">
        <f t="shared" si="0"/>
        <v>122.98080349983663</v>
      </c>
      <c r="D75" s="183">
        <f t="shared" si="30"/>
        <v>2.3471836314274297</v>
      </c>
      <c r="E75" s="183">
        <f t="shared" si="28"/>
        <v>7.6624997961321606</v>
      </c>
      <c r="F75" s="184">
        <f t="shared" si="29"/>
        <v>5.031570411213826</v>
      </c>
      <c r="G75" s="185">
        <f t="shared" si="19"/>
        <v>9.0875746525747481</v>
      </c>
      <c r="H75" s="174">
        <f>B$211/B75</f>
        <v>1.9141789066720738</v>
      </c>
    </row>
    <row r="76" spans="1:8" ht="14.25" hidden="1" customHeight="1">
      <c r="A76" s="222" t="s">
        <v>181</v>
      </c>
      <c r="B76" s="173">
        <f>[122]Inicial!$C$13</f>
        <v>10.428772136786147</v>
      </c>
      <c r="C76" s="165">
        <f t="shared" si="0"/>
        <v>122.98080349983663</v>
      </c>
      <c r="D76" s="183">
        <f t="shared" si="30"/>
        <v>0</v>
      </c>
      <c r="E76" s="183">
        <f t="shared" si="28"/>
        <v>7.6624997961321606</v>
      </c>
      <c r="F76" s="184">
        <f t="shared" si="29"/>
        <v>4.9702779715935286</v>
      </c>
      <c r="G76" s="185">
        <f t="shared" si="19"/>
        <v>9.0875746525747481</v>
      </c>
      <c r="H76" s="174">
        <f>B$211/B76</f>
        <v>1.9141789066720738</v>
      </c>
    </row>
    <row r="77" spans="1:8" ht="14.25" hidden="1" customHeight="1">
      <c r="A77" s="222" t="s">
        <v>182</v>
      </c>
      <c r="B77" s="173">
        <f>[123]Inicial!$C$13</f>
        <v>10.549469260468051</v>
      </c>
      <c r="C77" s="165">
        <f t="shared" si="0"/>
        <v>124.40411863759495</v>
      </c>
      <c r="D77" s="183">
        <f t="shared" si="30"/>
        <v>1.157347404841258</v>
      </c>
      <c r="E77" s="183">
        <f t="shared" ref="E77:E82" si="31">100*(B77/B$58-1)</f>
        <v>8.9085289435099302</v>
      </c>
      <c r="F77" s="184">
        <f t="shared" ref="F77:F82" si="32">(100*(B77/B65-1))</f>
        <v>3.5487549724185996</v>
      </c>
      <c r="G77" s="185">
        <f t="shared" si="19"/>
        <v>8.9085289435099302</v>
      </c>
      <c r="H77" s="174">
        <f>B$211/B77</f>
        <v>1.8922786686085677</v>
      </c>
    </row>
    <row r="78" spans="1:8" ht="14.25" hidden="1" customHeight="1">
      <c r="A78" s="222" t="s">
        <v>183</v>
      </c>
      <c r="B78" s="173">
        <f>[124]Inicial!$C$13</f>
        <v>10.549469260468051</v>
      </c>
      <c r="C78" s="165">
        <f t="shared" si="0"/>
        <v>124.40411863759495</v>
      </c>
      <c r="D78" s="183">
        <f t="shared" ref="D78:D83" si="33">100*(B78/B77-1)</f>
        <v>0</v>
      </c>
      <c r="E78" s="183">
        <f t="shared" si="31"/>
        <v>8.9085289435099302</v>
      </c>
      <c r="F78" s="184">
        <f t="shared" si="32"/>
        <v>3.5487549724185996</v>
      </c>
      <c r="G78" s="185">
        <f t="shared" ref="G78:G100" si="34">100*(B78/B54-1)</f>
        <v>8.9085289435099302</v>
      </c>
      <c r="H78" s="174">
        <f>B$211/B78</f>
        <v>1.8922786686085677</v>
      </c>
    </row>
    <row r="79" spans="1:8" ht="14.25" hidden="1" customHeight="1">
      <c r="A79" s="222" t="s">
        <v>184</v>
      </c>
      <c r="B79" s="173">
        <f>[125]Inicial!$C$13</f>
        <v>10.550092902656399</v>
      </c>
      <c r="C79" s="165">
        <f t="shared" si="0"/>
        <v>124.41147290868395</v>
      </c>
      <c r="D79" s="183">
        <f t="shared" si="33"/>
        <v>5.911597758623266E-3</v>
      </c>
      <c r="E79" s="183">
        <f t="shared" si="31"/>
        <v>8.9149671776658899</v>
      </c>
      <c r="F79" s="184">
        <f t="shared" si="32"/>
        <v>3.5548763582966325</v>
      </c>
      <c r="G79" s="185">
        <f t="shared" si="34"/>
        <v>8.9149671776658899</v>
      </c>
      <c r="H79" s="174">
        <f>B$211/B79</f>
        <v>1.8921668113177605</v>
      </c>
    </row>
    <row r="80" spans="1:8" ht="14.25" hidden="1" customHeight="1">
      <c r="A80" s="222" t="s">
        <v>185</v>
      </c>
      <c r="B80" s="173">
        <f>[126]Inicial!$C$13</f>
        <v>10.550092902656399</v>
      </c>
      <c r="C80" s="165">
        <f t="shared" si="0"/>
        <v>124.41147290868395</v>
      </c>
      <c r="D80" s="183">
        <f t="shared" si="33"/>
        <v>0</v>
      </c>
      <c r="E80" s="183">
        <f t="shared" si="31"/>
        <v>8.9149671776658899</v>
      </c>
      <c r="F80" s="184">
        <f t="shared" si="32"/>
        <v>3.5548763582966325</v>
      </c>
      <c r="G80" s="185">
        <f t="shared" si="34"/>
        <v>8.9149671776658899</v>
      </c>
      <c r="H80" s="174">
        <f>B$211/B80</f>
        <v>1.8921668113177605</v>
      </c>
    </row>
    <row r="81" spans="1:8" ht="14.25" hidden="1" customHeight="1">
      <c r="A81" s="222" t="s">
        <v>186</v>
      </c>
      <c r="B81" s="173">
        <f>[127]Inicial!$C$13</f>
        <v>10.550092902656399</v>
      </c>
      <c r="C81" s="165">
        <f t="shared" si="0"/>
        <v>124.41147290868395</v>
      </c>
      <c r="D81" s="183">
        <f t="shared" si="33"/>
        <v>0</v>
      </c>
      <c r="E81" s="183">
        <f t="shared" si="31"/>
        <v>8.9149671776658899</v>
      </c>
      <c r="F81" s="184">
        <f t="shared" si="32"/>
        <v>3.5548763582966325</v>
      </c>
      <c r="G81" s="185">
        <f t="shared" si="34"/>
        <v>8.9149671776658899</v>
      </c>
      <c r="H81" s="174">
        <f>B$211/B81</f>
        <v>1.8921668113177605</v>
      </c>
    </row>
    <row r="82" spans="1:8" ht="14.25" hidden="1" customHeight="1">
      <c r="A82" s="222" t="s">
        <v>187</v>
      </c>
      <c r="B82" s="173">
        <f>[128]Inicial!$C$13</f>
        <v>10.552710220535825</v>
      </c>
      <c r="C82" s="165">
        <f t="shared" si="0"/>
        <v>124.44233750631869</v>
      </c>
      <c r="D82" s="183">
        <f t="shared" si="33"/>
        <v>2.4808481816940287E-2</v>
      </c>
      <c r="E82" s="183">
        <f t="shared" si="31"/>
        <v>8.9419873274940933</v>
      </c>
      <c r="F82" s="184">
        <f t="shared" si="32"/>
        <v>3.580566750968539</v>
      </c>
      <c r="G82" s="185">
        <f t="shared" si="34"/>
        <v>8.9419873274940933</v>
      </c>
      <c r="H82" s="174">
        <f>B$211/B82</f>
        <v>1.8916975098849891</v>
      </c>
    </row>
    <row r="83" spans="1:8" ht="14.25" hidden="1" customHeight="1">
      <c r="A83" s="222" t="s">
        <v>188</v>
      </c>
      <c r="B83" s="173">
        <f>[129]Inicial!$C$13</f>
        <v>10.567096435816453</v>
      </c>
      <c r="C83" s="165">
        <f t="shared" si="0"/>
        <v>124.61198627142042</v>
      </c>
      <c r="D83" s="183">
        <f t="shared" si="33"/>
        <v>0.13632720865044412</v>
      </c>
      <c r="E83" s="183">
        <f t="shared" ref="E83:E88" si="35">100*(B83/B$82-1)</f>
        <v>0.13632720865044412</v>
      </c>
      <c r="F83" s="184">
        <f t="shared" ref="F83:F100" si="36">(100*(B83/B71-1))</f>
        <v>3.704687875249757</v>
      </c>
      <c r="G83" s="185">
        <f t="shared" si="34"/>
        <v>9.090504897866003</v>
      </c>
      <c r="H83" s="174">
        <f>B$211/B83</f>
        <v>1.8891221224274857</v>
      </c>
    </row>
    <row r="84" spans="1:8" ht="14.25" hidden="1" customHeight="1">
      <c r="A84" s="222" t="s">
        <v>189</v>
      </c>
      <c r="B84" s="173">
        <f>[130]Inicial!$C$13</f>
        <v>10.567096435816453</v>
      </c>
      <c r="C84" s="165">
        <f t="shared" si="0"/>
        <v>124.61198627142042</v>
      </c>
      <c r="D84" s="183">
        <f t="shared" ref="D84:D89" si="37">100*(B84/B83-1)</f>
        <v>0</v>
      </c>
      <c r="E84" s="183">
        <f t="shared" si="35"/>
        <v>0.13632720865044412</v>
      </c>
      <c r="F84" s="184">
        <f t="shared" si="36"/>
        <v>3.704687875249757</v>
      </c>
      <c r="G84" s="185">
        <f t="shared" si="34"/>
        <v>9.090504897866003</v>
      </c>
      <c r="H84" s="174">
        <f>B$211/B84</f>
        <v>1.8891221224274857</v>
      </c>
    </row>
    <row r="85" spans="1:8" ht="14.25" hidden="1" customHeight="1">
      <c r="A85" s="222" t="s">
        <v>190</v>
      </c>
      <c r="B85" s="173">
        <f>[131]Inicial!$C$13</f>
        <v>10.567096435816453</v>
      </c>
      <c r="C85" s="165">
        <f t="shared" si="0"/>
        <v>124.61198627142042</v>
      </c>
      <c r="D85" s="183">
        <f t="shared" si="37"/>
        <v>0</v>
      </c>
      <c r="E85" s="183">
        <f t="shared" si="35"/>
        <v>0.13632720865044412</v>
      </c>
      <c r="F85" s="184">
        <f t="shared" si="36"/>
        <v>3.704687875249757</v>
      </c>
      <c r="G85" s="185">
        <f t="shared" si="34"/>
        <v>9.090504897866003</v>
      </c>
      <c r="H85" s="174">
        <f>B$211/B85</f>
        <v>1.8891221224274857</v>
      </c>
    </row>
    <row r="86" spans="1:8" ht="14.25" hidden="1" customHeight="1">
      <c r="A86" s="222" t="s">
        <v>191</v>
      </c>
      <c r="B86" s="173">
        <f>[132]Inicial!$C$13</f>
        <v>10.567096435816453</v>
      </c>
      <c r="C86" s="165">
        <f t="shared" si="0"/>
        <v>124.61198627142042</v>
      </c>
      <c r="D86" s="183">
        <f t="shared" si="37"/>
        <v>0</v>
      </c>
      <c r="E86" s="183">
        <f t="shared" si="35"/>
        <v>0.13632720865044412</v>
      </c>
      <c r="F86" s="184">
        <f t="shared" si="36"/>
        <v>3.704687875249757</v>
      </c>
      <c r="G86" s="185">
        <f t="shared" si="34"/>
        <v>9.0905050028622156</v>
      </c>
      <c r="H86" s="174">
        <f>B$211/B86</f>
        <v>1.8891221224274857</v>
      </c>
    </row>
    <row r="87" spans="1:8" ht="14.25" hidden="1" customHeight="1">
      <c r="A87" s="222" t="s">
        <v>192</v>
      </c>
      <c r="B87" s="173">
        <f>[133]Inicial!$C$13</f>
        <v>10.841752294708339</v>
      </c>
      <c r="C87" s="165">
        <f t="shared" si="0"/>
        <v>127.85085253193796</v>
      </c>
      <c r="D87" s="183">
        <f t="shared" si="37"/>
        <v>2.5991610898993933</v>
      </c>
      <c r="E87" s="183">
        <f t="shared" si="35"/>
        <v>2.7390316623120192</v>
      </c>
      <c r="F87" s="184">
        <f t="shared" si="36"/>
        <v>3.9600074918259898</v>
      </c>
      <c r="G87" s="185">
        <f t="shared" si="34"/>
        <v>9.1908284682803654</v>
      </c>
      <c r="H87" s="174">
        <f>B$211/B87</f>
        <v>1.8412646871178604</v>
      </c>
    </row>
    <row r="88" spans="1:8" ht="14.25" hidden="1" customHeight="1">
      <c r="A88" s="222" t="s">
        <v>193</v>
      </c>
      <c r="B88" s="173">
        <f>[134]Inicial!$C$13</f>
        <v>10.841752294708339</v>
      </c>
      <c r="C88" s="165">
        <f t="shared" si="0"/>
        <v>127.85085253193796</v>
      </c>
      <c r="D88" s="183">
        <f t="shared" si="37"/>
        <v>0</v>
      </c>
      <c r="E88" s="183">
        <f t="shared" si="35"/>
        <v>2.7390316623120192</v>
      </c>
      <c r="F88" s="184">
        <f t="shared" si="36"/>
        <v>3.9600074918259898</v>
      </c>
      <c r="G88" s="185">
        <f t="shared" si="34"/>
        <v>9.1271088434591974</v>
      </c>
      <c r="H88" s="174">
        <f>B$211/B88</f>
        <v>1.8412646871178604</v>
      </c>
    </row>
    <row r="89" spans="1:8" ht="14.25" hidden="1" customHeight="1">
      <c r="A89" s="222" t="s">
        <v>194</v>
      </c>
      <c r="B89" s="173">
        <f>[135]Inicial!$C$13</f>
        <v>11.008866091970766</v>
      </c>
      <c r="C89" s="165">
        <f t="shared" si="0"/>
        <v>129.82153410342886</v>
      </c>
      <c r="D89" s="183">
        <f t="shared" si="37"/>
        <v>1.5413910290497324</v>
      </c>
      <c r="E89" s="183">
        <f t="shared" ref="E89:E94" si="38">100*(B89/B$82-1)</f>
        <v>4.3226418796874722</v>
      </c>
      <c r="F89" s="184">
        <f t="shared" si="36"/>
        <v>4.3546914082607913</v>
      </c>
      <c r="G89" s="185">
        <f t="shared" si="34"/>
        <v>8.057983708563544</v>
      </c>
      <c r="H89" s="174">
        <f>B$211/B89</f>
        <v>1.8133144212994852</v>
      </c>
    </row>
    <row r="90" spans="1:8" ht="14.25" hidden="1" customHeight="1">
      <c r="A90" s="222" t="s">
        <v>195</v>
      </c>
      <c r="B90" s="173">
        <f>[136]Inicial!$C$13</f>
        <v>11.008866091970766</v>
      </c>
      <c r="C90" s="165">
        <f t="shared" si="0"/>
        <v>129.82153410342886</v>
      </c>
      <c r="D90" s="183">
        <f t="shared" ref="D90:D95" si="39">100*(B90/B89-1)</f>
        <v>0</v>
      </c>
      <c r="E90" s="183">
        <f t="shared" si="38"/>
        <v>4.3226418796874722</v>
      </c>
      <c r="F90" s="184">
        <f t="shared" si="36"/>
        <v>4.3546914082607913</v>
      </c>
      <c r="G90" s="185">
        <f t="shared" si="34"/>
        <v>8.057983708563544</v>
      </c>
      <c r="H90" s="174">
        <f>B$211/B90</f>
        <v>1.8133144212994852</v>
      </c>
    </row>
    <row r="91" spans="1:8" ht="14.25" hidden="1" customHeight="1">
      <c r="A91" s="222" t="s">
        <v>196</v>
      </c>
      <c r="B91" s="173">
        <f>[137]Inicial!$C$13</f>
        <v>11.008866091970766</v>
      </c>
      <c r="C91" s="165">
        <f t="shared" si="0"/>
        <v>129.82153410342886</v>
      </c>
      <c r="D91" s="183">
        <f t="shared" si="39"/>
        <v>0</v>
      </c>
      <c r="E91" s="183">
        <f t="shared" si="38"/>
        <v>4.3226418796874722</v>
      </c>
      <c r="F91" s="184">
        <f t="shared" si="36"/>
        <v>4.3485227433291529</v>
      </c>
      <c r="G91" s="185">
        <f t="shared" si="34"/>
        <v>8.057983708563544</v>
      </c>
      <c r="H91" s="174">
        <f>B$211/B91</f>
        <v>1.8133144212994852</v>
      </c>
    </row>
    <row r="92" spans="1:8" ht="14.25" hidden="1" customHeight="1">
      <c r="A92" s="222" t="s">
        <v>197</v>
      </c>
      <c r="B92" s="173">
        <f>[138]Inicial!$C$13</f>
        <v>11.008866091970766</v>
      </c>
      <c r="C92" s="165">
        <f t="shared" si="0"/>
        <v>129.82153410342886</v>
      </c>
      <c r="D92" s="183">
        <f t="shared" si="39"/>
        <v>0</v>
      </c>
      <c r="E92" s="183">
        <f t="shared" si="38"/>
        <v>4.3226418796874722</v>
      </c>
      <c r="F92" s="184">
        <f t="shared" si="36"/>
        <v>4.3485227433291529</v>
      </c>
      <c r="G92" s="185">
        <f t="shared" si="34"/>
        <v>8.057983708563544</v>
      </c>
      <c r="H92" s="174">
        <f>B$211/B92</f>
        <v>1.8133144212994852</v>
      </c>
    </row>
    <row r="93" spans="1:8" ht="14.25" hidden="1" customHeight="1">
      <c r="A93" s="222" t="s">
        <v>198</v>
      </c>
      <c r="B93" s="173">
        <f>[139]Inicial!$C$13</f>
        <v>11.008866091970766</v>
      </c>
      <c r="C93" s="165">
        <f t="shared" si="0"/>
        <v>129.82153410342886</v>
      </c>
      <c r="D93" s="183">
        <f t="shared" si="39"/>
        <v>0</v>
      </c>
      <c r="E93" s="183">
        <f t="shared" si="38"/>
        <v>4.3226418796874722</v>
      </c>
      <c r="F93" s="184">
        <f t="shared" si="36"/>
        <v>4.3485227433291529</v>
      </c>
      <c r="G93" s="185">
        <f t="shared" si="34"/>
        <v>8.057983708563544</v>
      </c>
      <c r="H93" s="174">
        <f>B$211/B93</f>
        <v>1.8133144212994852</v>
      </c>
    </row>
    <row r="94" spans="1:8" ht="14.25" hidden="1" customHeight="1">
      <c r="A94" s="222" t="s">
        <v>199</v>
      </c>
      <c r="B94" s="173">
        <f>[140]Inicial!$C$13</f>
        <v>11.008866091970766</v>
      </c>
      <c r="C94" s="165">
        <f t="shared" si="0"/>
        <v>129.82153410342886</v>
      </c>
      <c r="D94" s="183">
        <f t="shared" si="39"/>
        <v>0</v>
      </c>
      <c r="E94" s="183">
        <f t="shared" si="38"/>
        <v>4.3226418796874722</v>
      </c>
      <c r="F94" s="184">
        <f t="shared" si="36"/>
        <v>4.3226418796874722</v>
      </c>
      <c r="G94" s="185">
        <f t="shared" si="34"/>
        <v>8.057983708563544</v>
      </c>
      <c r="H94" s="174">
        <f>B$211/B94</f>
        <v>1.8133144212994852</v>
      </c>
    </row>
    <row r="95" spans="1:8" ht="16.5" customHeight="1">
      <c r="A95" s="163" t="s">
        <v>200</v>
      </c>
      <c r="B95" s="173">
        <f>[141]Inicial!$C$13</f>
        <v>11.008866091970766</v>
      </c>
      <c r="C95" s="165">
        <f t="shared" si="0"/>
        <v>129.82153410342886</v>
      </c>
      <c r="D95" s="183">
        <f t="shared" si="39"/>
        <v>0</v>
      </c>
      <c r="E95" s="183">
        <f t="shared" ref="E95:E100" si="40">100*(B95/B$94-1)</f>
        <v>0</v>
      </c>
      <c r="F95" s="184">
        <f t="shared" si="36"/>
        <v>4.1806153548193725</v>
      </c>
      <c r="G95" s="185">
        <f t="shared" si="34"/>
        <v>8.0401819802299546</v>
      </c>
      <c r="H95" s="174">
        <f>B$211/B95</f>
        <v>1.8133144212994852</v>
      </c>
    </row>
    <row r="96" spans="1:8" ht="16.5" customHeight="1">
      <c r="A96" s="163" t="s">
        <v>201</v>
      </c>
      <c r="B96" s="173">
        <f>[142]Inicial!$C$13</f>
        <v>11.008866091970766</v>
      </c>
      <c r="C96" s="165">
        <f t="shared" si="0"/>
        <v>129.82153410342886</v>
      </c>
      <c r="D96" s="183">
        <f t="shared" ref="D96:D101" si="41">100*(B96/B95-1)</f>
        <v>0</v>
      </c>
      <c r="E96" s="183">
        <f t="shared" si="40"/>
        <v>0</v>
      </c>
      <c r="F96" s="184">
        <f t="shared" si="36"/>
        <v>4.1806153548193725</v>
      </c>
      <c r="G96" s="185">
        <f t="shared" si="34"/>
        <v>8.0401819802299546</v>
      </c>
      <c r="H96" s="174">
        <f>B$211/B96</f>
        <v>1.8133144212994852</v>
      </c>
    </row>
    <row r="97" spans="1:8" ht="16.5" customHeight="1">
      <c r="A97" s="163" t="s">
        <v>202</v>
      </c>
      <c r="B97" s="173">
        <f>[143]Inicial!$C$13</f>
        <v>11.008866091970766</v>
      </c>
      <c r="C97" s="165">
        <f t="shared" si="0"/>
        <v>129.82153410342886</v>
      </c>
      <c r="D97" s="183">
        <f t="shared" si="41"/>
        <v>0</v>
      </c>
      <c r="E97" s="183">
        <f t="shared" si="40"/>
        <v>0</v>
      </c>
      <c r="F97" s="184">
        <f t="shared" si="36"/>
        <v>4.1806153548193725</v>
      </c>
      <c r="G97" s="185">
        <f t="shared" si="34"/>
        <v>8.0401819802299546</v>
      </c>
      <c r="H97" s="174">
        <f>B$211/B97</f>
        <v>1.8133144212994852</v>
      </c>
    </row>
    <row r="98" spans="1:8" ht="16.5" customHeight="1">
      <c r="A98" s="163" t="s">
        <v>203</v>
      </c>
      <c r="B98" s="173">
        <f>[144]Inicial!$C$13</f>
        <v>11.008866091970766</v>
      </c>
      <c r="C98" s="165">
        <f t="shared" si="0"/>
        <v>129.82153410342886</v>
      </c>
      <c r="D98" s="183">
        <f t="shared" si="41"/>
        <v>0</v>
      </c>
      <c r="E98" s="183">
        <f t="shared" si="40"/>
        <v>0</v>
      </c>
      <c r="F98" s="184">
        <f t="shared" si="36"/>
        <v>4.1806153548193725</v>
      </c>
      <c r="G98" s="185">
        <f t="shared" si="34"/>
        <v>8.0401819802299546</v>
      </c>
      <c r="H98" s="174">
        <f t="shared" ref="H98:H161" si="42">B$211/B98</f>
        <v>1.8133144212994852</v>
      </c>
    </row>
    <row r="99" spans="1:8" ht="16.5" customHeight="1">
      <c r="A99" s="163" t="s">
        <v>204</v>
      </c>
      <c r="B99" s="173">
        <f>[145]Inicial!$C$13</f>
        <v>11.37158852423641</v>
      </c>
      <c r="C99" s="165">
        <f t="shared" si="0"/>
        <v>134.09892127637275</v>
      </c>
      <c r="D99" s="183">
        <f t="shared" si="41"/>
        <v>3.2948210036835013</v>
      </c>
      <c r="E99" s="183">
        <f t="shared" si="40"/>
        <v>3.2948210036835013</v>
      </c>
      <c r="F99" s="184">
        <f t="shared" si="36"/>
        <v>4.8869981081072433</v>
      </c>
      <c r="G99" s="185">
        <f t="shared" si="34"/>
        <v>9.0405310911396697</v>
      </c>
      <c r="H99" s="174">
        <f t="shared" si="42"/>
        <v>1.7554746730572506</v>
      </c>
    </row>
    <row r="100" spans="1:8" ht="16.5" customHeight="1">
      <c r="A100" s="163" t="s">
        <v>205</v>
      </c>
      <c r="B100" s="173">
        <f>[146]Inicial!$C$13</f>
        <v>11.37158852423641</v>
      </c>
      <c r="C100" s="165">
        <f t="shared" si="0"/>
        <v>134.09892127637275</v>
      </c>
      <c r="D100" s="183">
        <f t="shared" si="41"/>
        <v>0</v>
      </c>
      <c r="E100" s="183">
        <f t="shared" si="40"/>
        <v>3.2948210036835013</v>
      </c>
      <c r="F100" s="184">
        <f t="shared" si="36"/>
        <v>4.8869981081072433</v>
      </c>
      <c r="G100" s="185">
        <f t="shared" si="34"/>
        <v>9.0405310911396697</v>
      </c>
      <c r="H100" s="174">
        <f t="shared" si="42"/>
        <v>1.7554746730572506</v>
      </c>
    </row>
    <row r="101" spans="1:8" ht="16.5" customHeight="1">
      <c r="A101" s="163" t="s">
        <v>206</v>
      </c>
      <c r="B101" s="173">
        <f>[147]Inicial!$C$13</f>
        <v>11.37158852423641</v>
      </c>
      <c r="C101" s="165">
        <f t="shared" si="0"/>
        <v>134.09892127637275</v>
      </c>
      <c r="D101" s="183">
        <f t="shared" si="41"/>
        <v>0</v>
      </c>
      <c r="E101" s="183">
        <f t="shared" ref="E101:E106" si="43">100*(B101/B$94-1)</f>
        <v>3.2948210036835013</v>
      </c>
      <c r="F101" s="184">
        <f t="shared" ref="F101:F106" si="44">(100*(B101/B89-1))</f>
        <v>3.2948210036835013</v>
      </c>
      <c r="G101" s="185">
        <f t="shared" ref="G101:G106" si="45">100*(B101/B77-1)</f>
        <v>7.7929916991092751</v>
      </c>
      <c r="H101" s="174">
        <f t="shared" si="42"/>
        <v>1.7554746730572506</v>
      </c>
    </row>
    <row r="102" spans="1:8" ht="16.5" customHeight="1">
      <c r="A102" s="163" t="s">
        <v>207</v>
      </c>
      <c r="B102" s="173">
        <f>[148]Inicial!$C$13</f>
        <v>11.37158852423641</v>
      </c>
      <c r="C102" s="165">
        <f t="shared" si="0"/>
        <v>134.09892127637275</v>
      </c>
      <c r="D102" s="183">
        <f t="shared" ref="D102:D107" si="46">100*(B102/B101-1)</f>
        <v>0</v>
      </c>
      <c r="E102" s="183">
        <f t="shared" si="43"/>
        <v>3.2948210036835013</v>
      </c>
      <c r="F102" s="184">
        <f t="shared" si="44"/>
        <v>3.2948210036835013</v>
      </c>
      <c r="G102" s="185">
        <f t="shared" si="45"/>
        <v>7.7929916991092751</v>
      </c>
      <c r="H102" s="174">
        <f t="shared" si="42"/>
        <v>1.7554746730572506</v>
      </c>
    </row>
    <row r="103" spans="1:8" ht="16.5" customHeight="1">
      <c r="A103" s="163" t="s">
        <v>208</v>
      </c>
      <c r="B103" s="173">
        <f>[149]Inicial!$C$13</f>
        <v>11.629925159547604</v>
      </c>
      <c r="C103" s="165">
        <f t="shared" si="0"/>
        <v>137.14534386258967</v>
      </c>
      <c r="D103" s="183">
        <f t="shared" si="46"/>
        <v>2.2717726266703764</v>
      </c>
      <c r="E103" s="183">
        <f t="shared" si="43"/>
        <v>5.6414444720133572</v>
      </c>
      <c r="F103" s="184">
        <f t="shared" si="44"/>
        <v>5.6414444720133572</v>
      </c>
      <c r="G103" s="185">
        <f t="shared" si="45"/>
        <v>10.235286711260283</v>
      </c>
      <c r="H103" s="174">
        <f t="shared" si="42"/>
        <v>1.7164801469369064</v>
      </c>
    </row>
    <row r="104" spans="1:8" ht="16.5" customHeight="1">
      <c r="A104" s="163" t="s">
        <v>209</v>
      </c>
      <c r="B104" s="173">
        <f>[150]Inicial!$C$13</f>
        <v>11.629925159547604</v>
      </c>
      <c r="C104" s="165">
        <f t="shared" si="0"/>
        <v>137.14534386258967</v>
      </c>
      <c r="D104" s="183">
        <f t="shared" si="46"/>
        <v>0</v>
      </c>
      <c r="E104" s="183">
        <f t="shared" si="43"/>
        <v>5.6414444720133572</v>
      </c>
      <c r="F104" s="184">
        <f t="shared" si="44"/>
        <v>5.6414444720133572</v>
      </c>
      <c r="G104" s="185">
        <f t="shared" si="45"/>
        <v>10.235286711260283</v>
      </c>
      <c r="H104" s="174">
        <f t="shared" si="42"/>
        <v>1.7164801469369064</v>
      </c>
    </row>
    <row r="105" spans="1:8" ht="16.5" customHeight="1">
      <c r="A105" s="163" t="s">
        <v>210</v>
      </c>
      <c r="B105" s="173">
        <f>[151]Inicial!$C$13</f>
        <v>11.629925159547604</v>
      </c>
      <c r="C105" s="165">
        <f t="shared" si="0"/>
        <v>137.14534386258967</v>
      </c>
      <c r="D105" s="183">
        <f t="shared" si="46"/>
        <v>0</v>
      </c>
      <c r="E105" s="183">
        <f t="shared" si="43"/>
        <v>5.6414444720133572</v>
      </c>
      <c r="F105" s="184">
        <f t="shared" si="44"/>
        <v>5.6414444720133572</v>
      </c>
      <c r="G105" s="185">
        <f t="shared" si="45"/>
        <v>10.235286711260283</v>
      </c>
      <c r="H105" s="174">
        <f t="shared" si="42"/>
        <v>1.7164801469369064</v>
      </c>
    </row>
    <row r="106" spans="1:8" ht="16.5" customHeight="1">
      <c r="A106" s="163" t="s">
        <v>211</v>
      </c>
      <c r="B106" s="173">
        <f>[152]Inicial!$C$13</f>
        <v>11.629925159547604</v>
      </c>
      <c r="C106" s="165">
        <f t="shared" si="0"/>
        <v>137.14534386258967</v>
      </c>
      <c r="D106" s="183">
        <f t="shared" si="46"/>
        <v>0</v>
      </c>
      <c r="E106" s="183">
        <f t="shared" si="43"/>
        <v>5.6414444720133572</v>
      </c>
      <c r="F106" s="184">
        <f t="shared" si="44"/>
        <v>5.6414444720133572</v>
      </c>
      <c r="G106" s="185">
        <f t="shared" si="45"/>
        <v>10.207945793067385</v>
      </c>
      <c r="H106" s="174">
        <f t="shared" si="42"/>
        <v>1.7164801469369064</v>
      </c>
    </row>
    <row r="107" spans="1:8" ht="16.5" customHeight="1">
      <c r="A107" s="163" t="s">
        <v>212</v>
      </c>
      <c r="B107" s="173">
        <f>[153]Inicial!$C$13</f>
        <v>11.63345105141528</v>
      </c>
      <c r="C107" s="165">
        <f t="shared" ref="C107:C112" si="47">100*B107/B$8</f>
        <v>137.18692277612357</v>
      </c>
      <c r="D107" s="183">
        <f t="shared" si="46"/>
        <v>3.03174080598545E-2</v>
      </c>
      <c r="E107" s="183">
        <f t="shared" ref="E107:E112" si="48">100*(B107/B$106-1)</f>
        <v>3.03174080598545E-2</v>
      </c>
      <c r="F107" s="184">
        <f t="shared" ref="F107:F112" si="49">(100*(B107/B95-1))</f>
        <v>5.6734722198142684</v>
      </c>
      <c r="G107" s="185">
        <f t="shared" ref="G107:G112" si="50">100*(B107/B83-1)</f>
        <v>10.091273625406604</v>
      </c>
      <c r="H107" s="174">
        <f t="shared" si="42"/>
        <v>1.7159599123681302</v>
      </c>
    </row>
    <row r="108" spans="1:8" ht="16.5" customHeight="1">
      <c r="A108" s="163" t="s">
        <v>213</v>
      </c>
      <c r="B108" s="173">
        <f>[154]Inicial!$C$13</f>
        <v>11.63345105141528</v>
      </c>
      <c r="C108" s="165">
        <f t="shared" si="47"/>
        <v>137.18692277612357</v>
      </c>
      <c r="D108" s="183">
        <f t="shared" ref="D108:D113" si="51">100*(B108/B107-1)</f>
        <v>0</v>
      </c>
      <c r="E108" s="183">
        <f t="shared" si="48"/>
        <v>3.03174080598545E-2</v>
      </c>
      <c r="F108" s="184">
        <f t="shared" si="49"/>
        <v>5.6734722198142684</v>
      </c>
      <c r="G108" s="185">
        <f t="shared" si="50"/>
        <v>10.091273625406604</v>
      </c>
      <c r="H108" s="174">
        <f t="shared" si="42"/>
        <v>1.7159599123681302</v>
      </c>
    </row>
    <row r="109" spans="1:8" ht="16.5" customHeight="1">
      <c r="A109" s="163" t="s">
        <v>214</v>
      </c>
      <c r="B109" s="173">
        <f>[155]Inicial!$C$13</f>
        <v>11.63345105141528</v>
      </c>
      <c r="C109" s="165">
        <f t="shared" si="47"/>
        <v>137.18692277612357</v>
      </c>
      <c r="D109" s="183">
        <f t="shared" si="51"/>
        <v>0</v>
      </c>
      <c r="E109" s="183">
        <f t="shared" si="48"/>
        <v>3.03174080598545E-2</v>
      </c>
      <c r="F109" s="184">
        <f t="shared" si="49"/>
        <v>5.6734722198142684</v>
      </c>
      <c r="G109" s="185">
        <f t="shared" si="50"/>
        <v>10.091273625406604</v>
      </c>
      <c r="H109" s="174">
        <f t="shared" si="42"/>
        <v>1.7159599123681302</v>
      </c>
    </row>
    <row r="110" spans="1:8" ht="16.5" customHeight="1">
      <c r="A110" s="163" t="s">
        <v>215</v>
      </c>
      <c r="B110" s="173">
        <f>[156]Inicial!$C$13</f>
        <v>11.63345105141528</v>
      </c>
      <c r="C110" s="165">
        <f t="shared" si="47"/>
        <v>137.18692277612357</v>
      </c>
      <c r="D110" s="183">
        <f t="shared" si="51"/>
        <v>0</v>
      </c>
      <c r="E110" s="183">
        <f t="shared" si="48"/>
        <v>3.03174080598545E-2</v>
      </c>
      <c r="F110" s="184">
        <f t="shared" si="49"/>
        <v>5.6734722198142684</v>
      </c>
      <c r="G110" s="185">
        <f t="shared" si="50"/>
        <v>10.091273625406604</v>
      </c>
      <c r="H110" s="174">
        <f t="shared" si="42"/>
        <v>1.7159599123681302</v>
      </c>
    </row>
    <row r="111" spans="1:8" ht="16.5" customHeight="1">
      <c r="A111" s="163" t="s">
        <v>216</v>
      </c>
      <c r="B111" s="173">
        <f>[157]Inicial!$C$13</f>
        <v>11.988544072371928</v>
      </c>
      <c r="C111" s="165">
        <f t="shared" si="47"/>
        <v>141.37434047608406</v>
      </c>
      <c r="D111" s="183">
        <f t="shared" si="51"/>
        <v>3.0523446515335451</v>
      </c>
      <c r="E111" s="183">
        <f t="shared" si="48"/>
        <v>3.0835874513768013</v>
      </c>
      <c r="F111" s="184">
        <f t="shared" si="49"/>
        <v>5.4254121736870164</v>
      </c>
      <c r="G111" s="185">
        <f t="shared" si="50"/>
        <v>10.577550072079367</v>
      </c>
      <c r="H111" s="174">
        <f t="shared" si="42"/>
        <v>1.6651342753729326</v>
      </c>
    </row>
    <row r="112" spans="1:8" ht="16.5" customHeight="1">
      <c r="A112" s="163" t="s">
        <v>217</v>
      </c>
      <c r="B112" s="173">
        <f>[158]Inicial!$C$13</f>
        <v>11.988544072371928</v>
      </c>
      <c r="C112" s="165">
        <f t="shared" si="47"/>
        <v>141.37434047608406</v>
      </c>
      <c r="D112" s="183">
        <f t="shared" si="51"/>
        <v>0</v>
      </c>
      <c r="E112" s="183">
        <f t="shared" si="48"/>
        <v>3.0835874513768013</v>
      </c>
      <c r="F112" s="184">
        <f t="shared" si="49"/>
        <v>5.4254121736870164</v>
      </c>
      <c r="G112" s="185">
        <f t="shared" si="50"/>
        <v>10.577550072079367</v>
      </c>
      <c r="H112" s="174">
        <f t="shared" si="42"/>
        <v>1.6651342753729326</v>
      </c>
    </row>
    <row r="113" spans="1:8" ht="16.5" customHeight="1">
      <c r="A113" s="163" t="s">
        <v>218</v>
      </c>
      <c r="B113" s="173">
        <f>[159]Inicial!$C$13</f>
        <v>12.167430094292969</v>
      </c>
      <c r="C113" s="165">
        <f t="shared" ref="C113:C118" si="52">100*B113/B$8</f>
        <v>143.48384545156804</v>
      </c>
      <c r="D113" s="183">
        <f t="shared" si="51"/>
        <v>1.4921413379402004</v>
      </c>
      <c r="E113" s="183">
        <f t="shared" ref="E113:E118" si="53">100*(B113/B$106-1)</f>
        <v>4.6217402723705447</v>
      </c>
      <c r="F113" s="184">
        <f t="shared" ref="F113:F118" si="54">(100*(B113/B101-1))</f>
        <v>6.9985083294244355</v>
      </c>
      <c r="G113" s="185">
        <f t="shared" ref="G113:G118" si="55">100*(B113/B89-1)</f>
        <v>10.523917655490367</v>
      </c>
      <c r="H113" s="174">
        <f t="shared" si="42"/>
        <v>1.6406534076648407</v>
      </c>
    </row>
    <row r="114" spans="1:8" ht="16.5" customHeight="1">
      <c r="A114" s="163" t="s">
        <v>219</v>
      </c>
      <c r="B114" s="173">
        <f>[160]Inicial!$C$13</f>
        <v>12.167430094292969</v>
      </c>
      <c r="C114" s="165">
        <f t="shared" si="52"/>
        <v>143.48384545156804</v>
      </c>
      <c r="D114" s="183">
        <f t="shared" ref="D114:D119" si="56">100*(B114/B113-1)</f>
        <v>0</v>
      </c>
      <c r="E114" s="183">
        <f t="shared" si="53"/>
        <v>4.6217402723705447</v>
      </c>
      <c r="F114" s="184">
        <f t="shared" si="54"/>
        <v>6.9985083294244355</v>
      </c>
      <c r="G114" s="185">
        <f t="shared" si="55"/>
        <v>10.523917655490367</v>
      </c>
      <c r="H114" s="174">
        <f t="shared" si="42"/>
        <v>1.6406534076648407</v>
      </c>
    </row>
    <row r="115" spans="1:8" ht="16.5" customHeight="1">
      <c r="A115" s="163" t="s">
        <v>220</v>
      </c>
      <c r="B115" s="173">
        <f>[161]Inicial!$C$13</f>
        <v>12.171656639502554</v>
      </c>
      <c r="C115" s="165">
        <f t="shared" si="52"/>
        <v>143.53368678658674</v>
      </c>
      <c r="D115" s="183">
        <f t="shared" si="56"/>
        <v>3.4736548119296273E-2</v>
      </c>
      <c r="E115" s="183">
        <f t="shared" si="53"/>
        <v>4.6580822535234878</v>
      </c>
      <c r="F115" s="184">
        <f t="shared" si="54"/>
        <v>4.6580822535234878</v>
      </c>
      <c r="G115" s="185">
        <f t="shared" si="55"/>
        <v>10.562309849330088</v>
      </c>
      <c r="H115" s="174">
        <f t="shared" si="42"/>
        <v>1.6400836992014711</v>
      </c>
    </row>
    <row r="116" spans="1:8" ht="16.5" customHeight="1">
      <c r="A116" s="163" t="s">
        <v>221</v>
      </c>
      <c r="B116" s="173">
        <f>[162]Inicial!$C$13</f>
        <v>12.171656639502554</v>
      </c>
      <c r="C116" s="165">
        <f t="shared" si="52"/>
        <v>143.53368678658674</v>
      </c>
      <c r="D116" s="183">
        <f t="shared" si="56"/>
        <v>0</v>
      </c>
      <c r="E116" s="183">
        <f t="shared" si="53"/>
        <v>4.6580822535234878</v>
      </c>
      <c r="F116" s="184">
        <f t="shared" si="54"/>
        <v>4.6580822535234878</v>
      </c>
      <c r="G116" s="185">
        <f t="shared" si="55"/>
        <v>10.562309849330088</v>
      </c>
      <c r="H116" s="174">
        <f t="shared" si="42"/>
        <v>1.6400836992014711</v>
      </c>
    </row>
    <row r="117" spans="1:8" ht="16.5" customHeight="1">
      <c r="A117" s="163" t="s">
        <v>222</v>
      </c>
      <c r="B117" s="173">
        <f>[163]Inicial!$C$13</f>
        <v>12.171656639502554</v>
      </c>
      <c r="C117" s="165">
        <f t="shared" si="52"/>
        <v>143.53368678658674</v>
      </c>
      <c r="D117" s="183">
        <f t="shared" si="56"/>
        <v>0</v>
      </c>
      <c r="E117" s="183">
        <f t="shared" si="53"/>
        <v>4.6580822535234878</v>
      </c>
      <c r="F117" s="184">
        <f t="shared" si="54"/>
        <v>4.6580822535234878</v>
      </c>
      <c r="G117" s="185">
        <f t="shared" si="55"/>
        <v>10.562309849330088</v>
      </c>
      <c r="H117" s="174">
        <f t="shared" si="42"/>
        <v>1.6400836992014711</v>
      </c>
    </row>
    <row r="118" spans="1:8" ht="16.5" customHeight="1">
      <c r="A118" s="163" t="s">
        <v>223</v>
      </c>
      <c r="B118" s="173">
        <f>[164]Inicial!$C$13</f>
        <v>12.171656639502554</v>
      </c>
      <c r="C118" s="165">
        <f t="shared" si="52"/>
        <v>143.53368678658674</v>
      </c>
      <c r="D118" s="183">
        <f t="shared" si="56"/>
        <v>0</v>
      </c>
      <c r="E118" s="183">
        <f t="shared" si="53"/>
        <v>4.6580822535234878</v>
      </c>
      <c r="F118" s="184">
        <f t="shared" si="54"/>
        <v>4.6580822535234878</v>
      </c>
      <c r="G118" s="185">
        <f t="shared" si="55"/>
        <v>10.562309849330088</v>
      </c>
      <c r="H118" s="174">
        <f t="shared" si="42"/>
        <v>1.6400836992014711</v>
      </c>
    </row>
    <row r="119" spans="1:8" ht="16.5" customHeight="1">
      <c r="A119" s="163" t="s">
        <v>224</v>
      </c>
      <c r="B119" s="173">
        <f>[165]Inicial!$C$13</f>
        <v>12.171656639502554</v>
      </c>
      <c r="C119" s="165">
        <f t="shared" ref="C119:C124" si="57">100*B119/B$8</f>
        <v>143.53368678658674</v>
      </c>
      <c r="D119" s="183">
        <f t="shared" si="56"/>
        <v>0</v>
      </c>
      <c r="E119" s="183">
        <f t="shared" ref="E119:E124" si="58">100*(B119/B$118-1)</f>
        <v>0</v>
      </c>
      <c r="F119" s="184">
        <f t="shared" ref="F119:F124" si="59">(100*(B119/B107-1))</f>
        <v>4.626362252341254</v>
      </c>
      <c r="G119" s="185">
        <f t="shared" ref="G119:G124" si="60">100*(B119/B95-1)</f>
        <v>10.562309849330088</v>
      </c>
      <c r="H119" s="174">
        <f t="shared" si="42"/>
        <v>1.6400836992014711</v>
      </c>
    </row>
    <row r="120" spans="1:8" ht="16.5" customHeight="1">
      <c r="A120" s="163" t="s">
        <v>225</v>
      </c>
      <c r="B120" s="173">
        <f>[166]Inicial!$C$13</f>
        <v>12.171656639502554</v>
      </c>
      <c r="C120" s="165">
        <f t="shared" si="57"/>
        <v>143.53368678658674</v>
      </c>
      <c r="D120" s="183">
        <f t="shared" ref="D120:D125" si="61">100*(B120/B119-1)</f>
        <v>0</v>
      </c>
      <c r="E120" s="183">
        <f t="shared" si="58"/>
        <v>0</v>
      </c>
      <c r="F120" s="184">
        <f t="shared" si="59"/>
        <v>4.626362252341254</v>
      </c>
      <c r="G120" s="185">
        <f t="shared" si="60"/>
        <v>10.562309849330088</v>
      </c>
      <c r="H120" s="174">
        <f t="shared" si="42"/>
        <v>1.6400836992014711</v>
      </c>
    </row>
    <row r="121" spans="1:8" ht="16.5" customHeight="1">
      <c r="A121" s="163" t="s">
        <v>226</v>
      </c>
      <c r="B121" s="173">
        <f>[167]Inicial!$C$13</f>
        <v>12.171656639502554</v>
      </c>
      <c r="C121" s="165">
        <f t="shared" si="57"/>
        <v>143.53368678658674</v>
      </c>
      <c r="D121" s="183">
        <f t="shared" si="61"/>
        <v>0</v>
      </c>
      <c r="E121" s="183">
        <f t="shared" si="58"/>
        <v>0</v>
      </c>
      <c r="F121" s="184">
        <f t="shared" si="59"/>
        <v>4.626362252341254</v>
      </c>
      <c r="G121" s="185">
        <f t="shared" si="60"/>
        <v>10.562309849330088</v>
      </c>
      <c r="H121" s="174">
        <f t="shared" si="42"/>
        <v>1.6400836992014711</v>
      </c>
    </row>
    <row r="122" spans="1:8" ht="16.5" customHeight="1">
      <c r="A122" s="163" t="s">
        <v>227</v>
      </c>
      <c r="B122" s="173">
        <f>[168]Inicial!$C$13</f>
        <v>12.171656639502554</v>
      </c>
      <c r="C122" s="165">
        <f t="shared" si="57"/>
        <v>143.53368678658674</v>
      </c>
      <c r="D122" s="183">
        <f t="shared" si="61"/>
        <v>0</v>
      </c>
      <c r="E122" s="183">
        <f t="shared" si="58"/>
        <v>0</v>
      </c>
      <c r="F122" s="184">
        <f t="shared" si="59"/>
        <v>4.626362252341254</v>
      </c>
      <c r="G122" s="185">
        <f t="shared" si="60"/>
        <v>10.562309849330088</v>
      </c>
      <c r="H122" s="174">
        <f t="shared" si="42"/>
        <v>1.6400836992014711</v>
      </c>
    </row>
    <row r="123" spans="1:8" ht="16.5" customHeight="1">
      <c r="A123" s="163" t="s">
        <v>228</v>
      </c>
      <c r="B123" s="173">
        <f>[169]Inicial!$C$13</f>
        <v>12.605964066329859</v>
      </c>
      <c r="C123" s="165">
        <f t="shared" si="57"/>
        <v>148.65523663124833</v>
      </c>
      <c r="D123" s="183">
        <f t="shared" si="61"/>
        <v>3.5681866461610534</v>
      </c>
      <c r="E123" s="183">
        <f t="shared" si="58"/>
        <v>3.5681866461610534</v>
      </c>
      <c r="F123" s="184">
        <f t="shared" si="59"/>
        <v>5.1500831980156869</v>
      </c>
      <c r="G123" s="185">
        <f t="shared" si="60"/>
        <v>10.854908612482838</v>
      </c>
      <c r="H123" s="174">
        <f t="shared" si="42"/>
        <v>1.5835786570298747</v>
      </c>
    </row>
    <row r="124" spans="1:8" ht="16.5" customHeight="1">
      <c r="A124" s="163" t="s">
        <v>229</v>
      </c>
      <c r="B124" s="173">
        <f>[170]Inicial!$C$13</f>
        <v>12.605964066329859</v>
      </c>
      <c r="C124" s="165">
        <f t="shared" si="57"/>
        <v>148.65523663124833</v>
      </c>
      <c r="D124" s="183">
        <f t="shared" si="61"/>
        <v>0</v>
      </c>
      <c r="E124" s="183">
        <f t="shared" si="58"/>
        <v>3.5681866461610534</v>
      </c>
      <c r="F124" s="184">
        <f t="shared" si="59"/>
        <v>5.1500831980156869</v>
      </c>
      <c r="G124" s="185">
        <f t="shared" si="60"/>
        <v>10.854908612482838</v>
      </c>
      <c r="H124" s="174">
        <f t="shared" si="42"/>
        <v>1.5835786570298747</v>
      </c>
    </row>
    <row r="125" spans="1:8" ht="16.5" customHeight="1">
      <c r="A125" s="163" t="s">
        <v>230</v>
      </c>
      <c r="B125" s="173">
        <f>[171]Inicial!$C$13</f>
        <v>12.84578768447888</v>
      </c>
      <c r="C125" s="165">
        <f t="shared" ref="C125:C131" si="62">100*B125/B$8</f>
        <v>151.48334533583585</v>
      </c>
      <c r="D125" s="183">
        <f t="shared" si="61"/>
        <v>1.9024615403242517</v>
      </c>
      <c r="E125" s="183">
        <f t="shared" ref="E125:E130" si="63">100*(B125/B$118-1)</f>
        <v>5.5385315651155009</v>
      </c>
      <c r="F125" s="184">
        <f t="shared" ref="F125:F130" si="64">(100*(B125/B113-1))</f>
        <v>5.575192007917007</v>
      </c>
      <c r="G125" s="185">
        <f t="shared" ref="G125:G130" si="65">100*(B125/B101-1)</f>
        <v>12.963880614396928</v>
      </c>
      <c r="H125" s="174">
        <f t="shared" si="42"/>
        <v>1.5540141357657293</v>
      </c>
    </row>
    <row r="126" spans="1:8" ht="16.5" customHeight="1">
      <c r="A126" s="163" t="s">
        <v>231</v>
      </c>
      <c r="B126" s="173">
        <f>[172]Inicial!$C$13</f>
        <v>12.85023067723715</v>
      </c>
      <c r="C126" s="165">
        <f t="shared" si="62"/>
        <v>151.53573911836261</v>
      </c>
      <c r="D126" s="183">
        <f t="shared" ref="D126:D131" si="66">100*(B126/B125-1)</f>
        <v>3.4587157030774307E-2</v>
      </c>
      <c r="E126" s="183">
        <f t="shared" si="63"/>
        <v>5.5750343427559024</v>
      </c>
      <c r="F126" s="184">
        <f t="shared" si="64"/>
        <v>5.6117074653623256</v>
      </c>
      <c r="G126" s="185">
        <f t="shared" si="65"/>
        <v>13.002951609173085</v>
      </c>
      <c r="H126" s="174">
        <f t="shared" si="42"/>
        <v>1.5534768322943071</v>
      </c>
    </row>
    <row r="127" spans="1:8" ht="16.5" customHeight="1">
      <c r="A127" s="163" t="s">
        <v>232</v>
      </c>
      <c r="B127" s="173">
        <f>[173]Inicial!$C$13</f>
        <v>12.902068895794935</v>
      </c>
      <c r="C127" s="165">
        <f t="shared" si="62"/>
        <v>152.14703886550629</v>
      </c>
      <c r="D127" s="183">
        <f t="shared" si="66"/>
        <v>0.40340301944625789</v>
      </c>
      <c r="E127" s="183">
        <f t="shared" si="63"/>
        <v>6.0009272190760132</v>
      </c>
      <c r="F127" s="184">
        <f t="shared" si="64"/>
        <v>6.0009272190760132</v>
      </c>
      <c r="G127" s="185">
        <f t="shared" si="65"/>
        <v>10.938537598438147</v>
      </c>
      <c r="H127" s="174">
        <f t="shared" si="42"/>
        <v>1.5472352386237622</v>
      </c>
    </row>
    <row r="128" spans="1:8" ht="16.5" customHeight="1">
      <c r="A128" s="163" t="s">
        <v>233</v>
      </c>
      <c r="B128" s="173">
        <f>[174]Inicial!$C$13</f>
        <v>12.910928747394715</v>
      </c>
      <c r="C128" s="165">
        <f t="shared" si="62"/>
        <v>152.25151824757916</v>
      </c>
      <c r="D128" s="183">
        <f t="shared" si="66"/>
        <v>6.8670006890658719E-2</v>
      </c>
      <c r="E128" s="183">
        <f t="shared" si="63"/>
        <v>6.0737180631015075</v>
      </c>
      <c r="F128" s="184">
        <f t="shared" si="64"/>
        <v>6.0737180631015075</v>
      </c>
      <c r="G128" s="185">
        <f t="shared" si="65"/>
        <v>11.014719099851389</v>
      </c>
      <c r="H128" s="174">
        <f t="shared" si="42"/>
        <v>1.546173481187689</v>
      </c>
    </row>
    <row r="129" spans="1:8" ht="16.5" customHeight="1">
      <c r="A129" s="163" t="s">
        <v>234</v>
      </c>
      <c r="B129" s="173">
        <f>[175]Inicial!$C$13</f>
        <v>12.927281737379152</v>
      </c>
      <c r="C129" s="165">
        <f t="shared" si="62"/>
        <v>152.44436011060321</v>
      </c>
      <c r="D129" s="183">
        <f t="shared" si="66"/>
        <v>0.12666005912036482</v>
      </c>
      <c r="E129" s="183">
        <f t="shared" si="63"/>
        <v>6.2080710971113895</v>
      </c>
      <c r="F129" s="184">
        <f t="shared" si="64"/>
        <v>6.2080710971113895</v>
      </c>
      <c r="G129" s="185">
        <f t="shared" si="65"/>
        <v>11.155330408695562</v>
      </c>
      <c r="H129" s="174">
        <f t="shared" si="42"/>
        <v>1.5442175742951398</v>
      </c>
    </row>
    <row r="130" spans="1:8" ht="16.5" customHeight="1">
      <c r="A130" s="163" t="s">
        <v>235</v>
      </c>
      <c r="B130" s="173">
        <f>[176]Inicial!$C$13</f>
        <v>12.926613127452173</v>
      </c>
      <c r="C130" s="165">
        <f t="shared" si="62"/>
        <v>152.4364755595775</v>
      </c>
      <c r="D130" s="183">
        <f t="shared" si="66"/>
        <v>-5.1720844378766451E-3</v>
      </c>
      <c r="E130" s="183">
        <f t="shared" si="63"/>
        <v>6.2025779259944125</v>
      </c>
      <c r="F130" s="184">
        <f t="shared" si="64"/>
        <v>6.2025779259944125</v>
      </c>
      <c r="G130" s="185">
        <f t="shared" si="65"/>
        <v>11.149581361149608</v>
      </c>
      <c r="H130" s="174">
        <f t="shared" si="42"/>
        <v>1.5442974466630532</v>
      </c>
    </row>
    <row r="131" spans="1:8" ht="16.5" customHeight="1">
      <c r="A131" s="163" t="s">
        <v>236</v>
      </c>
      <c r="B131" s="173">
        <f>[177]Inicial!$C$13</f>
        <v>12.925405164757988</v>
      </c>
      <c r="C131" s="165">
        <f t="shared" si="62"/>
        <v>152.4222307164857</v>
      </c>
      <c r="D131" s="183">
        <f t="shared" si="66"/>
        <v>-9.3447733159113255E-3</v>
      </c>
      <c r="E131" s="183">
        <f t="shared" ref="E131:E136" si="67">100*(B131/B$130-1)</f>
        <v>-9.3447733159113255E-3</v>
      </c>
      <c r="F131" s="184">
        <f t="shared" ref="F131:F136" si="68">(100*(B131/B119-1))</f>
        <v>6.1926535358315826</v>
      </c>
      <c r="G131" s="185">
        <f t="shared" ref="G131:G136" si="69">100*(B131/B107-1)</f>
        <v>11.10551037377283</v>
      </c>
      <c r="H131" s="174">
        <f t="shared" si="42"/>
        <v>1.5444417712455722</v>
      </c>
    </row>
    <row r="132" spans="1:8" ht="16.5" customHeight="1">
      <c r="A132" s="163" t="s">
        <v>237</v>
      </c>
      <c r="B132" s="173">
        <f>[178]Inicial!$C$13</f>
        <v>12.810530778671902</v>
      </c>
      <c r="C132" s="165">
        <f t="shared" ref="C132:C137" si="70">100*B132/B$8</f>
        <v>151.06757993716866</v>
      </c>
      <c r="D132" s="183">
        <f t="shared" ref="D132:D137" si="71">100*(B132/B131-1)</f>
        <v>-0.88874882157891077</v>
      </c>
      <c r="E132" s="183">
        <f t="shared" si="67"/>
        <v>-0.89801054333209507</v>
      </c>
      <c r="F132" s="184">
        <f t="shared" si="68"/>
        <v>5.2488675789285066</v>
      </c>
      <c r="G132" s="185">
        <f t="shared" si="69"/>
        <v>10.11806145961669</v>
      </c>
      <c r="H132" s="174">
        <f t="shared" si="42"/>
        <v>1.5582910647200412</v>
      </c>
    </row>
    <row r="133" spans="1:8" ht="16.5" customHeight="1">
      <c r="A133" s="163" t="s">
        <v>238</v>
      </c>
      <c r="B133" s="173">
        <f>[179]Inicial!$C$13</f>
        <v>12.8276181099284</v>
      </c>
      <c r="C133" s="165">
        <f t="shared" si="70"/>
        <v>151.26908148500473</v>
      </c>
      <c r="D133" s="183">
        <f t="shared" si="71"/>
        <v>0.1333850372924994</v>
      </c>
      <c r="E133" s="183">
        <f t="shared" si="67"/>
        <v>-0.76582331773771273</v>
      </c>
      <c r="F133" s="184">
        <f t="shared" si="68"/>
        <v>5.3892538201985696</v>
      </c>
      <c r="G133" s="185">
        <f t="shared" si="69"/>
        <v>10.264942476960371</v>
      </c>
      <c r="H133" s="174">
        <f t="shared" si="42"/>
        <v>1.5562153063533102</v>
      </c>
    </row>
    <row r="134" spans="1:8" ht="16.5" customHeight="1">
      <c r="A134" s="163" t="s">
        <v>239</v>
      </c>
      <c r="B134" s="175">
        <f>[180]Inicial!$C$13</f>
        <v>12.849998879426179</v>
      </c>
      <c r="C134" s="165">
        <f t="shared" si="70"/>
        <v>151.53300565361062</v>
      </c>
      <c r="D134" s="183">
        <f t="shared" si="71"/>
        <v>0.17447330678215245</v>
      </c>
      <c r="E134" s="183">
        <f t="shared" si="67"/>
        <v>-0.59268616822212294</v>
      </c>
      <c r="F134" s="184">
        <f t="shared" si="68"/>
        <v>5.5731299363317222</v>
      </c>
      <c r="G134" s="185">
        <f t="shared" si="69"/>
        <v>10.45732536832138</v>
      </c>
      <c r="H134" s="174">
        <f t="shared" si="42"/>
        <v>1.5535048550616628</v>
      </c>
    </row>
    <row r="135" spans="1:8" ht="16.5" customHeight="1">
      <c r="A135" s="163" t="s">
        <v>240</v>
      </c>
      <c r="B135" s="175">
        <f>[181]Inicial!$C$13</f>
        <v>13.260299701045303</v>
      </c>
      <c r="C135" s="165">
        <f t="shared" si="70"/>
        <v>156.37145873874178</v>
      </c>
      <c r="D135" s="183">
        <f t="shared" si="71"/>
        <v>3.1930027813157791</v>
      </c>
      <c r="E135" s="183">
        <f t="shared" si="67"/>
        <v>2.5813921272578533</v>
      </c>
      <c r="F135" s="184">
        <f t="shared" si="68"/>
        <v>5.1906830074437194</v>
      </c>
      <c r="G135" s="185">
        <f t="shared" si="69"/>
        <v>10.608090698887995</v>
      </c>
      <c r="H135" s="174">
        <f t="shared" si="42"/>
        <v>1.5054362342317087</v>
      </c>
    </row>
    <row r="136" spans="1:8" ht="16.5" customHeight="1">
      <c r="A136" s="163" t="s">
        <v>241</v>
      </c>
      <c r="B136" s="175">
        <f>[182]Inicial!$C$13</f>
        <v>13.285927550919295</v>
      </c>
      <c r="C136" s="165">
        <f t="shared" si="70"/>
        <v>156.67367394951998</v>
      </c>
      <c r="D136" s="183">
        <f t="shared" si="71"/>
        <v>0.19326750112571567</v>
      </c>
      <c r="E136" s="183">
        <f t="shared" si="67"/>
        <v>2.7796486204421766</v>
      </c>
      <c r="F136" s="184">
        <f t="shared" si="68"/>
        <v>5.3939824119092705</v>
      </c>
      <c r="G136" s="185">
        <f t="shared" si="69"/>
        <v>10.821860191824605</v>
      </c>
      <c r="H136" s="174">
        <f t="shared" si="42"/>
        <v>1.5025323275486493</v>
      </c>
    </row>
    <row r="137" spans="1:8" ht="16.5" customHeight="1">
      <c r="A137" s="163" t="s">
        <v>242</v>
      </c>
      <c r="B137" s="175">
        <f>[183]Inicial!$C$13</f>
        <v>13.294787709403133</v>
      </c>
      <c r="C137" s="165">
        <f t="shared" si="70"/>
        <v>156.77815695050865</v>
      </c>
      <c r="D137" s="183">
        <f t="shared" si="71"/>
        <v>6.6688294436967333E-2</v>
      </c>
      <c r="E137" s="183">
        <f t="shared" ref="E137:E142" si="72">100*(B137/B$130-1)</f>
        <v>2.8481906151354597</v>
      </c>
      <c r="F137" s="184">
        <f t="shared" ref="F137:F142" si="73">(100*(B137/B125-1))</f>
        <v>3.4953094037726062</v>
      </c>
      <c r="G137" s="185">
        <f t="shared" ref="G137:G142" si="74">100*(B137/B113-1)</f>
        <v>9.2653716222207194</v>
      </c>
      <c r="H137" s="174">
        <f t="shared" si="42"/>
        <v>1.5015309821462135</v>
      </c>
    </row>
    <row r="138" spans="1:8" ht="16.5" customHeight="1">
      <c r="A138" s="163" t="s">
        <v>243</v>
      </c>
      <c r="B138" s="175">
        <f>[184]Inicial!$C$13</f>
        <v>13.551860059331048</v>
      </c>
      <c r="C138" s="165">
        <f t="shared" ref="C138:C143" si="75">100*B138/B$8</f>
        <v>159.80967051097932</v>
      </c>
      <c r="D138" s="183">
        <f t="shared" ref="D138:D143" si="76">100*(B138/B137-1)</f>
        <v>1.9336326051005104</v>
      </c>
      <c r="E138" s="183">
        <f t="shared" si="72"/>
        <v>4.8368967626256421</v>
      </c>
      <c r="F138" s="184">
        <f t="shared" si="73"/>
        <v>5.4600528170810403</v>
      </c>
      <c r="G138" s="185">
        <f t="shared" si="74"/>
        <v>11.378162473992216</v>
      </c>
      <c r="H138" s="174">
        <f t="shared" si="42"/>
        <v>1.4730476524497769</v>
      </c>
    </row>
    <row r="139" spans="1:8" ht="16.5" customHeight="1">
      <c r="A139" s="163" t="s">
        <v>244</v>
      </c>
      <c r="B139" s="175">
        <f>[185]Inicial!$C$13</f>
        <v>13.558017958365154</v>
      </c>
      <c r="C139" s="165">
        <f t="shared" si="75"/>
        <v>159.88228724487209</v>
      </c>
      <c r="D139" s="183">
        <f t="shared" si="76"/>
        <v>4.5439511676970135E-2</v>
      </c>
      <c r="E139" s="183">
        <f t="shared" si="72"/>
        <v>4.8845341365718609</v>
      </c>
      <c r="F139" s="184">
        <f t="shared" si="73"/>
        <v>5.0840610747630244</v>
      </c>
      <c r="G139" s="185">
        <f t="shared" si="74"/>
        <v>11.390079098708949</v>
      </c>
      <c r="H139" s="174">
        <f t="shared" si="42"/>
        <v>1.4723786107989938</v>
      </c>
    </row>
    <row r="140" spans="1:8" ht="16.5" customHeight="1">
      <c r="A140" s="163" t="s">
        <v>245</v>
      </c>
      <c r="B140" s="175">
        <f>[186]Inicial!$C$13</f>
        <v>13.56862322892389</v>
      </c>
      <c r="C140" s="165">
        <f t="shared" si="75"/>
        <v>160.00734939768739</v>
      </c>
      <c r="D140" s="183">
        <f t="shared" si="76"/>
        <v>7.8221393357824631E-2</v>
      </c>
      <c r="E140" s="183">
        <f t="shared" si="72"/>
        <v>4.9665762805903402</v>
      </c>
      <c r="F140" s="184">
        <f t="shared" si="73"/>
        <v>5.094091171883286</v>
      </c>
      <c r="G140" s="185">
        <f t="shared" si="74"/>
        <v>11.477209970642321</v>
      </c>
      <c r="H140" s="174">
        <f t="shared" si="42"/>
        <v>1.4712277959175595</v>
      </c>
    </row>
    <row r="141" spans="1:8" ht="16.5" customHeight="1">
      <c r="A141" s="163" t="s">
        <v>246</v>
      </c>
      <c r="B141" s="175">
        <f>[187]Inicial!$C$13</f>
        <v>13.581686938040345</v>
      </c>
      <c r="C141" s="165">
        <f t="shared" si="75"/>
        <v>160.16140257123047</v>
      </c>
      <c r="D141" s="183">
        <f t="shared" si="76"/>
        <v>9.6278811018990496E-2</v>
      </c>
      <c r="E141" s="183">
        <f t="shared" si="72"/>
        <v>5.067636852200641</v>
      </c>
      <c r="F141" s="184">
        <f t="shared" si="73"/>
        <v>5.0622026653057706</v>
      </c>
      <c r="G141" s="185">
        <f t="shared" si="74"/>
        <v>11.584538902959206</v>
      </c>
      <c r="H141" s="174">
        <f t="shared" si="42"/>
        <v>1.469812677747218</v>
      </c>
    </row>
    <row r="142" spans="1:8" ht="16.5" customHeight="1">
      <c r="A142" s="163" t="s">
        <v>247</v>
      </c>
      <c r="B142" s="175">
        <f>[188]Inicial!$C$13</f>
        <v>13.597763210389076</v>
      </c>
      <c r="C142" s="165">
        <f t="shared" si="75"/>
        <v>160.35098125458813</v>
      </c>
      <c r="D142" s="183">
        <f t="shared" si="76"/>
        <v>0.11836727221050669</v>
      </c>
      <c r="E142" s="183">
        <f t="shared" si="72"/>
        <v>5.1920025479186505</v>
      </c>
      <c r="F142" s="184">
        <f t="shared" si="73"/>
        <v>5.1920025479186505</v>
      </c>
      <c r="G142" s="185">
        <f t="shared" si="74"/>
        <v>11.716618477867314</v>
      </c>
      <c r="H142" s="174">
        <f t="shared" si="42"/>
        <v>1.4680749574660599</v>
      </c>
    </row>
    <row r="143" spans="1:8" ht="16.5" customHeight="1">
      <c r="A143" s="163" t="s">
        <v>248</v>
      </c>
      <c r="B143" s="175">
        <f>[189]Inicial!$C$13</f>
        <v>13.632829137289196</v>
      </c>
      <c r="C143" s="165">
        <f t="shared" si="75"/>
        <v>160.76449454350467</v>
      </c>
      <c r="D143" s="183">
        <f t="shared" si="76"/>
        <v>0.25788011129159738</v>
      </c>
      <c r="E143" s="183">
        <f t="shared" ref="E143:E148" si="77">100*(B143/B$142-1)</f>
        <v>0.25788011129159738</v>
      </c>
      <c r="F143" s="184">
        <f t="shared" ref="F143:F148" si="78">(100*(B143/B131-1))</f>
        <v>5.4731280258823123</v>
      </c>
      <c r="G143" s="185">
        <f t="shared" ref="G143:G148" si="79">100*(B143/B119-1)</f>
        <v>12.004713417929258</v>
      </c>
      <c r="H143" s="174">
        <f t="shared" si="42"/>
        <v>1.4642988220341564</v>
      </c>
    </row>
    <row r="144" spans="1:8" ht="16.5" customHeight="1">
      <c r="A144" s="163" t="s">
        <v>249</v>
      </c>
      <c r="B144" s="175">
        <f>[190]Inicial!$C$13</f>
        <v>13.684441821337709</v>
      </c>
      <c r="C144" s="165">
        <f t="shared" ref="C144:C150" si="80">100*B144/B$8</f>
        <v>161.37313468558619</v>
      </c>
      <c r="D144" s="183">
        <f t="shared" ref="D144:D149" si="81">100*(B144/B143-1)</f>
        <v>0.3785911458931146</v>
      </c>
      <c r="E144" s="183">
        <f t="shared" si="77"/>
        <v>0.6374475684530756</v>
      </c>
      <c r="F144" s="184">
        <f t="shared" si="78"/>
        <v>6.8218175949490645</v>
      </c>
      <c r="G144" s="185">
        <f t="shared" si="79"/>
        <v>12.42875334591249</v>
      </c>
      <c r="H144" s="174">
        <f t="shared" si="42"/>
        <v>1.4587760251644724</v>
      </c>
    </row>
    <row r="145" spans="1:8" ht="16.5" customHeight="1">
      <c r="A145" s="163" t="s">
        <v>250</v>
      </c>
      <c r="B145" s="175">
        <f>[191]Inicial!$C$13</f>
        <v>13.751643143277789</v>
      </c>
      <c r="C145" s="165">
        <f t="shared" si="80"/>
        <v>162.16560310469089</v>
      </c>
      <c r="D145" s="183">
        <f t="shared" si="81"/>
        <v>0.49107828304180146</v>
      </c>
      <c r="E145" s="183">
        <f t="shared" si="77"/>
        <v>1.1316562180693435</v>
      </c>
      <c r="F145" s="184">
        <f t="shared" si="78"/>
        <v>7.2034030435799146</v>
      </c>
      <c r="G145" s="185">
        <f t="shared" si="79"/>
        <v>12.980866537488911</v>
      </c>
      <c r="H145" s="174">
        <f t="shared" si="42"/>
        <v>1.4516473005252304</v>
      </c>
    </row>
    <row r="146" spans="1:8" ht="16.5" customHeight="1">
      <c r="A146" s="163" t="s">
        <v>252</v>
      </c>
      <c r="B146" s="175">
        <f>[192]Inicial!$C$13</f>
        <v>13.805701265478609</v>
      </c>
      <c r="C146" s="165">
        <f t="shared" si="80"/>
        <v>162.80308096083263</v>
      </c>
      <c r="D146" s="183">
        <f t="shared" si="81"/>
        <v>0.39310300331087955</v>
      </c>
      <c r="E146" s="183">
        <f t="shared" si="77"/>
        <v>1.5292077959606187</v>
      </c>
      <c r="F146" s="184">
        <f t="shared" si="78"/>
        <v>7.4373733026746214</v>
      </c>
      <c r="G146" s="185">
        <f t="shared" si="79"/>
        <v>13.424997717014442</v>
      </c>
      <c r="H146" s="174">
        <f t="shared" si="42"/>
        <v>1.4459631758541782</v>
      </c>
    </row>
    <row r="147" spans="1:8" ht="16.5" customHeight="1">
      <c r="A147" s="163" t="s">
        <v>253</v>
      </c>
      <c r="B147" s="175">
        <f>[193]Inicial!$C$13</f>
        <v>14.290315539454628</v>
      </c>
      <c r="C147" s="165">
        <f t="shared" si="80"/>
        <v>168.51787192753096</v>
      </c>
      <c r="D147" s="183">
        <f t="shared" si="81"/>
        <v>3.5102474308045917</v>
      </c>
      <c r="E147" s="183">
        <f t="shared" si="77"/>
        <v>5.0931342041345751</v>
      </c>
      <c r="F147" s="184">
        <f t="shared" si="78"/>
        <v>7.7676663546912827</v>
      </c>
      <c r="G147" s="185">
        <f t="shared" si="79"/>
        <v>13.361544299682881</v>
      </c>
      <c r="H147" s="174">
        <f t="shared" si="42"/>
        <v>1.3969275619989103</v>
      </c>
    </row>
    <row r="148" spans="1:8" ht="16.5" customHeight="1">
      <c r="A148" s="163" t="s">
        <v>254</v>
      </c>
      <c r="B148" s="175">
        <f>[194]Inicial!$C$13</f>
        <v>14.377868093641005</v>
      </c>
      <c r="C148" s="165">
        <f t="shared" si="80"/>
        <v>169.55033129293636</v>
      </c>
      <c r="D148" s="183">
        <f t="shared" si="81"/>
        <v>0.61267054561986445</v>
      </c>
      <c r="E148" s="183">
        <f t="shared" si="77"/>
        <v>5.7370088828720522</v>
      </c>
      <c r="F148" s="184">
        <f t="shared" si="78"/>
        <v>8.2187753812202224</v>
      </c>
      <c r="G148" s="185">
        <f t="shared" si="79"/>
        <v>14.056077091666852</v>
      </c>
      <c r="H148" s="174">
        <f t="shared" si="42"/>
        <v>1.3884211147794894</v>
      </c>
    </row>
    <row r="149" spans="1:8" ht="16.5" customHeight="1">
      <c r="A149" s="163" t="s">
        <v>255</v>
      </c>
      <c r="B149" s="175">
        <f>[195]Inicial!$C$13</f>
        <v>14.742116969198408</v>
      </c>
      <c r="C149" s="165">
        <f t="shared" si="80"/>
        <v>173.84571897639631</v>
      </c>
      <c r="D149" s="183">
        <f t="shared" si="81"/>
        <v>2.5333997584697565</v>
      </c>
      <c r="E149" s="183">
        <f t="shared" ref="E149:E154" si="82">100*(B149/B$142-1)</f>
        <v>8.4157500105238814</v>
      </c>
      <c r="F149" s="184">
        <f t="shared" ref="F149:F154" si="83">(100*(B149/B137-1))</f>
        <v>10.886441298882943</v>
      </c>
      <c r="G149" s="185">
        <f t="shared" ref="G149:G154" si="84">100*(B149/B125-1)</f>
        <v>14.762265509111572</v>
      </c>
      <c r="H149" s="174">
        <f t="shared" si="42"/>
        <v>1.3541159447068845</v>
      </c>
    </row>
    <row r="150" spans="1:8" ht="16.5" customHeight="1">
      <c r="A150" s="163" t="str">
        <f>Carter!A150</f>
        <v>AGOSTO|15</v>
      </c>
      <c r="B150" s="175">
        <f>[196]Inicial!$C$13</f>
        <v>14.763719421578211</v>
      </c>
      <c r="C150" s="165">
        <f t="shared" si="80"/>
        <v>174.10046487710153</v>
      </c>
      <c r="D150" s="183">
        <f t="shared" ref="D150:D155" si="85">100*(B150/B149-1)</f>
        <v>0.14653561917150615</v>
      </c>
      <c r="E150" s="183">
        <f t="shared" si="82"/>
        <v>8.5746177010812552</v>
      </c>
      <c r="F150" s="184">
        <f t="shared" si="83"/>
        <v>8.9423839749049439</v>
      </c>
      <c r="G150" s="185">
        <f t="shared" si="84"/>
        <v>14.890695680121979</v>
      </c>
      <c r="H150" s="174">
        <f t="shared" si="42"/>
        <v>1.3521345859193754</v>
      </c>
    </row>
    <row r="151" spans="1:8" ht="16.5" customHeight="1">
      <c r="A151" s="163" t="str">
        <f>Carter!A151</f>
        <v>SETEMBRO|15</v>
      </c>
      <c r="B151" s="175">
        <f>[197]Inicial!$C$13</f>
        <v>14.773084829597009</v>
      </c>
      <c r="C151" s="165">
        <f t="shared" ref="C151:C157" si="86">100*B151/B$8</f>
        <v>174.21090600939866</v>
      </c>
      <c r="D151" s="183">
        <f t="shared" si="85"/>
        <v>6.3435288570379278E-2</v>
      </c>
      <c r="E151" s="183">
        <f t="shared" si="82"/>
        <v>8.6434923231341045</v>
      </c>
      <c r="F151" s="184">
        <f t="shared" si="83"/>
        <v>8.9619800988843821</v>
      </c>
      <c r="G151" s="185">
        <f t="shared" si="84"/>
        <v>14.5016737153828</v>
      </c>
      <c r="H151" s="174">
        <f t="shared" si="42"/>
        <v>1.3512773992018057</v>
      </c>
    </row>
    <row r="152" spans="1:8" ht="16.5" customHeight="1">
      <c r="A152" s="163" t="str">
        <f>Carter!A152</f>
        <v>OUTUBRO|15</v>
      </c>
      <c r="B152" s="175">
        <f>[198]Inicial!$C$13</f>
        <v>14.773084829597009</v>
      </c>
      <c r="C152" s="165">
        <f t="shared" si="86"/>
        <v>174.21090600939866</v>
      </c>
      <c r="D152" s="183">
        <f t="shared" si="85"/>
        <v>0</v>
      </c>
      <c r="E152" s="183">
        <f t="shared" si="82"/>
        <v>8.6434923231341045</v>
      </c>
      <c r="F152" s="184">
        <f t="shared" si="83"/>
        <v>8.8768151370405732</v>
      </c>
      <c r="G152" s="185">
        <f t="shared" si="84"/>
        <v>14.423099365164237</v>
      </c>
      <c r="H152" s="174">
        <f t="shared" si="42"/>
        <v>1.3512773992018057</v>
      </c>
    </row>
    <row r="153" spans="1:8" ht="16.5" customHeight="1">
      <c r="A153" s="163" t="str">
        <f>Carter!A153</f>
        <v>NOVEMBRO|15</v>
      </c>
      <c r="B153" s="175">
        <f>[199]Inicial!$C$13</f>
        <v>14.802002399936642</v>
      </c>
      <c r="C153" s="165">
        <f t="shared" si="86"/>
        <v>174.55191509359247</v>
      </c>
      <c r="D153" s="183">
        <f t="shared" si="85"/>
        <v>0.1957449691326385</v>
      </c>
      <c r="E153" s="183">
        <f t="shared" si="82"/>
        <v>8.8561564936466386</v>
      </c>
      <c r="F153" s="184">
        <f t="shared" si="83"/>
        <v>8.9850065567213875</v>
      </c>
      <c r="G153" s="185">
        <f t="shared" si="84"/>
        <v>14.502048463419403</v>
      </c>
      <c r="H153" s="174">
        <f t="shared" si="42"/>
        <v>1.348637509125856</v>
      </c>
    </row>
    <row r="154" spans="1:8" ht="16.5" customHeight="1">
      <c r="A154" s="163" t="str">
        <f>Carter!A154</f>
        <v>DEZEMBRO|15</v>
      </c>
      <c r="B154" s="175">
        <f>[200]Inicial!$C$13</f>
        <v>14.83208207582514</v>
      </c>
      <c r="C154" s="165">
        <f t="shared" si="86"/>
        <v>174.90662825265494</v>
      </c>
      <c r="D154" s="183">
        <f t="shared" si="85"/>
        <v>0.20321355905621452</v>
      </c>
      <c r="E154" s="183">
        <f t="shared" si="82"/>
        <v>9.0773669635091814</v>
      </c>
      <c r="F154" s="184">
        <f t="shared" si="83"/>
        <v>9.0773669635091814</v>
      </c>
      <c r="G154" s="185">
        <f t="shared" si="84"/>
        <v>14.740666635457146</v>
      </c>
      <c r="H154" s="174">
        <f t="shared" si="42"/>
        <v>1.3459024528499945</v>
      </c>
    </row>
    <row r="155" spans="1:8" ht="16.5" customHeight="1">
      <c r="A155" s="163" t="str">
        <f>Carter!A155</f>
        <v>JANEIRO|16</v>
      </c>
      <c r="B155" s="175">
        <f>[201]Inicial!$C$13</f>
        <v>14.841753165101954</v>
      </c>
      <c r="C155" s="165">
        <f t="shared" si="86"/>
        <v>175.02067411676833</v>
      </c>
      <c r="D155" s="183">
        <f t="shared" si="85"/>
        <v>6.520385490973446E-2</v>
      </c>
      <c r="E155" s="183">
        <f t="shared" ref="E155:E160" si="87">100*(B155/B$154-1)</f>
        <v>6.520385490973446E-2</v>
      </c>
      <c r="F155" s="184">
        <f t="shared" ref="F155:F160" si="88">(100*(B155/B143-1))</f>
        <v>8.8677413590261267</v>
      </c>
      <c r="G155" s="185">
        <f t="shared" ref="G155:G160" si="89">100*(B155/B131-1)</f>
        <v>14.82621222249203</v>
      </c>
      <c r="H155" s="174">
        <f t="shared" si="42"/>
        <v>1.3450254444107219</v>
      </c>
    </row>
    <row r="156" spans="1:8" ht="16.5" customHeight="1">
      <c r="A156" s="163" t="str">
        <f>Carter!A156</f>
        <v>FEVEREIRO|16</v>
      </c>
      <c r="B156" s="175">
        <f>[202]Inicial!$C$13</f>
        <v>14.897241014269445</v>
      </c>
      <c r="C156" s="165">
        <f t="shared" si="86"/>
        <v>175.67501196072459</v>
      </c>
      <c r="D156" s="183">
        <f t="shared" ref="D156:D161" si="90">100*(B156/B155-1)</f>
        <v>0.37386317202716679</v>
      </c>
      <c r="E156" s="183">
        <f t="shared" si="87"/>
        <v>0.43931080013714929</v>
      </c>
      <c r="F156" s="184">
        <f t="shared" si="88"/>
        <v>8.8626135341571377</v>
      </c>
      <c r="G156" s="185">
        <f t="shared" si="89"/>
        <v>16.289022458551685</v>
      </c>
      <c r="H156" s="174">
        <f t="shared" si="42"/>
        <v>1.3400156195099626</v>
      </c>
    </row>
    <row r="157" spans="1:8" ht="16.5" customHeight="1">
      <c r="A157" s="163" t="str">
        <f>Carter!A157</f>
        <v>MARÇO|16</v>
      </c>
      <c r="B157" s="175">
        <f>[203]Inicial!$C$13</f>
        <v>14.934020572554568</v>
      </c>
      <c r="C157" s="165">
        <f t="shared" si="86"/>
        <v>176.10873316691706</v>
      </c>
      <c r="D157" s="183">
        <f t="shared" si="90"/>
        <v>0.24688838859419082</v>
      </c>
      <c r="E157" s="183">
        <f t="shared" si="87"/>
        <v>0.68728379608671286</v>
      </c>
      <c r="F157" s="184">
        <f t="shared" si="88"/>
        <v>8.5980810944382249</v>
      </c>
      <c r="G157" s="185">
        <f t="shared" si="89"/>
        <v>16.420838573264373</v>
      </c>
      <c r="H157" s="174">
        <f t="shared" si="42"/>
        <v>1.3367154243387229</v>
      </c>
    </row>
    <row r="158" spans="1:8" ht="16.5" customHeight="1">
      <c r="A158" s="163" t="str">
        <f>Carter!A158</f>
        <v>ABRIL|16</v>
      </c>
      <c r="B158" s="175">
        <f>[204]Inicial!$C$13</f>
        <v>14.951217145395711</v>
      </c>
      <c r="C158" s="165">
        <f t="shared" ref="C158:C164" si="91">100*B158/B$8</f>
        <v>176.31152294098715</v>
      </c>
      <c r="D158" s="183">
        <f t="shared" si="90"/>
        <v>0.11515032243056833</v>
      </c>
      <c r="E158" s="183">
        <f t="shared" si="87"/>
        <v>0.803225528024476</v>
      </c>
      <c r="F158" s="184">
        <f t="shared" si="88"/>
        <v>8.2974117568477723</v>
      </c>
      <c r="G158" s="185">
        <f t="shared" si="89"/>
        <v>16.351894546339164</v>
      </c>
      <c r="H158" s="174">
        <f t="shared" si="42"/>
        <v>1.3351779626097557</v>
      </c>
    </row>
    <row r="159" spans="1:8" ht="16.5" customHeight="1">
      <c r="A159" s="163" t="str">
        <f>Carter!A159</f>
        <v>MAIO|16</v>
      </c>
      <c r="B159" s="175">
        <f>[205]Inicial!$C$13</f>
        <v>15.395339062322355</v>
      </c>
      <c r="C159" s="165">
        <f t="shared" si="91"/>
        <v>181.54880969719758</v>
      </c>
      <c r="D159" s="183">
        <f t="shared" si="90"/>
        <v>2.9704733240625281</v>
      </c>
      <c r="E159" s="183">
        <f t="shared" si="87"/>
        <v>3.7975584521290573</v>
      </c>
      <c r="F159" s="184">
        <f t="shared" si="88"/>
        <v>7.7326740603930633</v>
      </c>
      <c r="G159" s="185">
        <f t="shared" si="89"/>
        <v>16.100988736391429</v>
      </c>
      <c r="H159" s="174">
        <f t="shared" si="42"/>
        <v>1.2966609936887086</v>
      </c>
    </row>
    <row r="160" spans="1:8" ht="16.5" customHeight="1">
      <c r="A160" s="163" t="str">
        <f>Carter!A160</f>
        <v>JUNHO|16</v>
      </c>
      <c r="B160" s="175">
        <f>[206]Inicial!$C$13</f>
        <v>15.545133175376957</v>
      </c>
      <c r="C160" s="165">
        <f t="shared" si="91"/>
        <v>183.31524970963392</v>
      </c>
      <c r="D160" s="183">
        <f t="shared" si="90"/>
        <v>0.97298352734043192</v>
      </c>
      <c r="E160" s="183">
        <f t="shared" si="87"/>
        <v>4.8074915976498156</v>
      </c>
      <c r="F160" s="184">
        <f t="shared" si="88"/>
        <v>8.1184851198642392</v>
      </c>
      <c r="G160" s="185">
        <f t="shared" si="89"/>
        <v>17.00450055744389</v>
      </c>
      <c r="H160" s="174">
        <f t="shared" si="42"/>
        <v>1.2841662674428274</v>
      </c>
    </row>
    <row r="161" spans="1:8" ht="16.5" customHeight="1">
      <c r="A161" s="163" t="str">
        <f>Carter!A161</f>
        <v>JULHO|16</v>
      </c>
      <c r="B161" s="175">
        <f>[207]Inicial!$C$13</f>
        <v>16.07510200085019</v>
      </c>
      <c r="C161" s="165">
        <f t="shared" si="91"/>
        <v>189.56488208549752</v>
      </c>
      <c r="D161" s="183">
        <f t="shared" si="90"/>
        <v>3.4092266659554227</v>
      </c>
      <c r="E161" s="183">
        <f t="shared" ref="E161" si="92">100*(B161/B$154-1)</f>
        <v>8.3806165491158815</v>
      </c>
      <c r="F161" s="184">
        <f t="shared" ref="F161" si="93">(100*(B161/B149-1))</f>
        <v>9.0420190969646264</v>
      </c>
      <c r="G161" s="185">
        <f t="shared" ref="G161" si="94">100*(B161/B137-1)</f>
        <v>20.912814497072386</v>
      </c>
      <c r="H161" s="174">
        <f t="shared" si="42"/>
        <v>1.2418294854782075</v>
      </c>
    </row>
    <row r="162" spans="1:8" ht="16.5" customHeight="1">
      <c r="A162" s="163" t="str">
        <f>Carter!A162</f>
        <v>AGOSTO|16</v>
      </c>
      <c r="B162" s="175">
        <f>[208]Inicial!$C$13</f>
        <v>16.125201607008595</v>
      </c>
      <c r="C162" s="165">
        <f t="shared" si="91"/>
        <v>190.15567932793155</v>
      </c>
      <c r="D162" s="183">
        <f t="shared" ref="D162" si="95">100*(B162/B161-1)</f>
        <v>0.31165964704769067</v>
      </c>
      <c r="E162" s="183">
        <f t="shared" ref="E162" si="96">100*(B162/B$154-1)</f>
        <v>8.7183951961209427</v>
      </c>
      <c r="F162" s="184">
        <f t="shared" ref="F162" si="97">(100*(B162/B150-1))</f>
        <v>9.221810212950011</v>
      </c>
      <c r="G162" s="185">
        <f t="shared" ref="G162" si="98">100*(B162/B138-1)</f>
        <v>18.988843866533944</v>
      </c>
      <c r="H162" s="174">
        <f t="shared" ref="H162:H211" si="99">B$211/B162</f>
        <v>1.2379712287162385</v>
      </c>
    </row>
    <row r="163" spans="1:8" ht="16.5" customHeight="1">
      <c r="A163" s="163" t="str">
        <f>Carter!A163</f>
        <v>SETEMBRO|16</v>
      </c>
      <c r="B163" s="175">
        <f>[209]Inicial!$C$13</f>
        <v>16.175158981827654</v>
      </c>
      <c r="C163" s="165">
        <f t="shared" si="91"/>
        <v>190.74479931400535</v>
      </c>
      <c r="D163" s="183">
        <f t="shared" ref="D163" si="100">100*(B163/B162-1)</f>
        <v>0.30980930370101412</v>
      </c>
      <c r="E163" s="183">
        <f t="shared" ref="E163" si="101">100*(B163/B$154-1)</f>
        <v>9.0552148992729684</v>
      </c>
      <c r="F163" s="184">
        <f t="shared" ref="F163" si="102">(100*(B163/B151-1))</f>
        <v>9.4907337797294211</v>
      </c>
      <c r="G163" s="185">
        <f t="shared" ref="G163" si="103">100*(B163/B139-1)</f>
        <v>19.303271551191227</v>
      </c>
      <c r="H163" s="174">
        <f t="shared" si="99"/>
        <v>1.2341477242451129</v>
      </c>
    </row>
    <row r="164" spans="1:8" ht="16.5" customHeight="1">
      <c r="A164" s="163" t="str">
        <f>Carter!A164</f>
        <v>OUTUBRO|16</v>
      </c>
      <c r="B164" s="175">
        <f>[210]Inicial!$C$13</f>
        <v>16.192782591953161</v>
      </c>
      <c r="C164" s="165">
        <f t="shared" si="91"/>
        <v>190.95262490510802</v>
      </c>
      <c r="D164" s="183">
        <f t="shared" ref="D164" si="104">100*(B164/B163-1)</f>
        <v>0.10895478767971589</v>
      </c>
      <c r="E164" s="183">
        <f t="shared" ref="E164" si="105">100*(B164/B$154-1)</f>
        <v>9.1740357771201495</v>
      </c>
      <c r="F164" s="184">
        <f t="shared" ref="F164" si="106">(100*(B164/B152-1))</f>
        <v>9.6100291762480907</v>
      </c>
      <c r="G164" s="185">
        <f t="shared" ref="G164" si="107">100*(B164/B140-1)</f>
        <v>19.339908837879861</v>
      </c>
      <c r="H164" s="174">
        <f t="shared" si="99"/>
        <v>1.2328045246927279</v>
      </c>
    </row>
    <row r="165" spans="1:8" ht="16.5" customHeight="1">
      <c r="A165" s="163" t="str">
        <f>Carter!A165</f>
        <v>NOVEMBRO|16</v>
      </c>
      <c r="B165" s="175">
        <f>[211]Inicial!$C$13</f>
        <v>16.228804085227452</v>
      </c>
      <c r="C165" s="165">
        <f t="shared" ref="C165" si="108">100*B165/B$8</f>
        <v>191.37740666541805</v>
      </c>
      <c r="D165" s="183">
        <f t="shared" ref="D165" si="109">100*(B165/B164-1)</f>
        <v>0.22245400424378836</v>
      </c>
      <c r="E165" s="183">
        <f t="shared" ref="E165" si="110">100*(B165/B$154-1)</f>
        <v>9.4168977913008831</v>
      </c>
      <c r="F165" s="184">
        <f t="shared" ref="F165" si="111">(100*(B165/B153-1))</f>
        <v>9.6392477635114826</v>
      </c>
      <c r="G165" s="185">
        <f t="shared" ref="G165" si="112">100*(B165/B141-1)</f>
        <v>19.490341363803012</v>
      </c>
      <c r="H165" s="174">
        <f t="shared" si="99"/>
        <v>1.2300681887519203</v>
      </c>
    </row>
    <row r="166" spans="1:8" ht="16.5" customHeight="1">
      <c r="A166" s="163" t="str">
        <f>Carter!A166</f>
        <v>DEZEMBRO|16</v>
      </c>
      <c r="B166" s="175">
        <f>[212]Inicial!$C$13</f>
        <v>16.25528036025338</v>
      </c>
      <c r="C166" s="165">
        <f t="shared" ref="C166" si="113">100*B166/B$8</f>
        <v>191.68962688978041</v>
      </c>
      <c r="D166" s="183">
        <f t="shared" ref="D166" si="114">100*(B166/B165-1)</f>
        <v>0.16314372203203309</v>
      </c>
      <c r="E166" s="183">
        <f t="shared" ref="E166" si="115">100*(B166/B$154-1)</f>
        <v>9.5954045908896113</v>
      </c>
      <c r="F166" s="184">
        <f t="shared" ref="F166" si="116">(100*(B166/B154-1))</f>
        <v>9.5954045908896113</v>
      </c>
      <c r="G166" s="185">
        <f t="shared" ref="G166" si="117">100*(B166/B142-1)</f>
        <v>19.543781640747259</v>
      </c>
      <c r="H166" s="174">
        <f t="shared" si="99"/>
        <v>1.2280646783267373</v>
      </c>
    </row>
    <row r="167" spans="1:8" ht="16.5" customHeight="1">
      <c r="A167" s="163" t="str">
        <f>Carter!A167</f>
        <v>JANEIRO|17</v>
      </c>
      <c r="B167" s="175">
        <f>[213]Inicial!$C$13</f>
        <v>16.324580134948054</v>
      </c>
      <c r="C167" s="165">
        <f t="shared" ref="C167" si="118">100*B167/B$8</f>
        <v>192.50684121401005</v>
      </c>
      <c r="D167" s="183">
        <f t="shared" ref="D167" si="119">100*(B167/B166-1)</f>
        <v>0.42632162078313218</v>
      </c>
      <c r="E167" s="183">
        <f t="shared" ref="E167:E172" si="120">100*(B167/B$166-1)</f>
        <v>0.42632162078313218</v>
      </c>
      <c r="F167" s="184">
        <f t="shared" ref="F167" si="121">(100*(B167/B155-1))</f>
        <v>9.990915179297911</v>
      </c>
      <c r="G167" s="185">
        <f t="shared" ref="G167" si="122">100*(B167/B143-1)</f>
        <v>19.74462505582386</v>
      </c>
      <c r="H167" s="174">
        <f t="shared" si="99"/>
        <v>1.2228513984252016</v>
      </c>
    </row>
    <row r="168" spans="1:8" ht="16.5" customHeight="1">
      <c r="A168" s="163" t="str">
        <f>Carter!A168</f>
        <v>FEVEREIRO|17</v>
      </c>
      <c r="B168" s="175">
        <f>[214]Inicial!$C$13</f>
        <v>16.381502601465858</v>
      </c>
      <c r="C168" s="165">
        <f t="shared" ref="C168" si="123">100*B168/B$8</f>
        <v>193.17809671539928</v>
      </c>
      <c r="D168" s="183">
        <f t="shared" ref="D168" si="124">100*(B168/B167-1)</f>
        <v>0.3486917644879739</v>
      </c>
      <c r="E168" s="183">
        <f t="shared" si="120"/>
        <v>0.77649993365300762</v>
      </c>
      <c r="F168" s="184">
        <f t="shared" ref="F168" si="125">(100*(B168/B156-1))</f>
        <v>9.9633320409779245</v>
      </c>
      <c r="G168" s="185">
        <f t="shared" ref="G168" si="126">100*(B168/B144-1)</f>
        <v>19.708957189051791</v>
      </c>
      <c r="H168" s="174">
        <f t="shared" si="99"/>
        <v>1.2186022327975701</v>
      </c>
    </row>
    <row r="169" spans="1:8" ht="16.5" customHeight="1">
      <c r="A169" s="163" t="str">
        <f>Carter!A169</f>
        <v>MARÇO|17</v>
      </c>
      <c r="B169" s="175">
        <f>[215]Inicial!$C$13</f>
        <v>16.40949822949684</v>
      </c>
      <c r="C169" s="165">
        <f t="shared" ref="C169" si="127">100*B169/B$8</f>
        <v>193.50823383840611</v>
      </c>
      <c r="D169" s="183">
        <f t="shared" ref="D169" si="128">100*(B169/B168-1)</f>
        <v>0.17089780291874579</v>
      </c>
      <c r="E169" s="183">
        <f t="shared" si="120"/>
        <v>0.94872475789802291</v>
      </c>
      <c r="F169" s="184">
        <f t="shared" ref="F169" si="129">(100*(B169/B157-1))</f>
        <v>9.8799760571769646</v>
      </c>
      <c r="G169" s="185">
        <f t="shared" ref="G169" si="130">100*(B169/B145-1)</f>
        <v>19.327545505122345</v>
      </c>
      <c r="H169" s="174">
        <f t="shared" si="99"/>
        <v>1.216523221340303</v>
      </c>
    </row>
    <row r="170" spans="1:8" ht="16.5" customHeight="1">
      <c r="A170" s="163" t="str">
        <f>Carter!A170</f>
        <v>ABRIL|17</v>
      </c>
      <c r="B170" s="175">
        <f>[216]Inicial!$C$13</f>
        <v>16.445268536905104</v>
      </c>
      <c r="C170" s="165">
        <f t="shared" ref="C170" si="131">100*B170/B$8</f>
        <v>193.93005350123943</v>
      </c>
      <c r="D170" s="183">
        <f t="shared" ref="D170" si="132">100*(B170/B169-1)</f>
        <v>0.21798538205126672</v>
      </c>
      <c r="E170" s="183">
        <f t="shared" si="120"/>
        <v>1.1687782212374209</v>
      </c>
      <c r="F170" s="184">
        <f t="shared" ref="F170" si="133">(100*(B170/B158-1))</f>
        <v>9.9928412314544737</v>
      </c>
      <c r="G170" s="185">
        <f t="shared" ref="G170" si="134">100*(B170/B146-1)</f>
        <v>19.11940017148406</v>
      </c>
      <c r="H170" s="174">
        <f t="shared" si="99"/>
        <v>1.2138771466046439</v>
      </c>
    </row>
    <row r="171" spans="1:8" ht="16.5" customHeight="1">
      <c r="A171" s="163" t="str">
        <f>Carter!A171</f>
        <v>MAIO|17</v>
      </c>
      <c r="B171" s="175">
        <f>[217]Inicial!$C$13</f>
        <v>16.725905460845418</v>
      </c>
      <c r="C171" s="165">
        <f t="shared" ref="C171" si="135">100*B171/B$8</f>
        <v>197.23945118921483</v>
      </c>
      <c r="D171" s="183">
        <f t="shared" ref="D171" si="136">100*(B171/B170-1)</f>
        <v>1.7064903702273426</v>
      </c>
      <c r="E171" s="183">
        <f t="shared" si="120"/>
        <v>2.8952136792594896</v>
      </c>
      <c r="F171" s="184">
        <f t="shared" ref="F171" si="137">(100*(B171/B159-1))</f>
        <v>8.642657320743341</v>
      </c>
      <c r="G171" s="185">
        <f t="shared" ref="G171" si="138">100*(B171/B147-1)</f>
        <v>17.043639901906182</v>
      </c>
      <c r="H171" s="174">
        <f t="shared" si="99"/>
        <v>1.1935100131623295</v>
      </c>
    </row>
    <row r="172" spans="1:8" ht="16.5" customHeight="1">
      <c r="A172" s="163" t="str">
        <f>Carter!A172</f>
        <v>JUNHO|17</v>
      </c>
      <c r="B172" s="175">
        <f>[218]Inicial!$C$13</f>
        <v>16.756541554533371</v>
      </c>
      <c r="C172" s="165">
        <f t="shared" ref="C172" si="139">100*B172/B$8</f>
        <v>197.60072587893126</v>
      </c>
      <c r="D172" s="183">
        <f t="shared" ref="D172" si="140">100*(B172/B171-1)</f>
        <v>0.18316553181332296</v>
      </c>
      <c r="E172" s="183">
        <f t="shared" si="120"/>
        <v>3.0836822446055789</v>
      </c>
      <c r="F172" s="184">
        <f t="shared" ref="F172" si="141">(100*(B172/B160-1))</f>
        <v>7.7928465809173675</v>
      </c>
      <c r="G172" s="185">
        <f t="shared" ref="G172" si="142">100*(B172/B148-1)</f>
        <v>16.543992790867222</v>
      </c>
      <c r="H172" s="174">
        <f t="shared" si="99"/>
        <v>1.1913279110583987</v>
      </c>
    </row>
    <row r="173" spans="1:8" ht="16.5" customHeight="1">
      <c r="A173" s="163" t="str">
        <f>Carter!A173</f>
        <v>JULHO|17</v>
      </c>
      <c r="B173" s="175">
        <f>[219]Inicial!$C$13</f>
        <v>16.745753109315299</v>
      </c>
      <c r="C173" s="165">
        <f t="shared" ref="C173" si="143">100*B173/B$8</f>
        <v>197.47350364758606</v>
      </c>
      <c r="D173" s="183">
        <f t="shared" ref="D173" si="144">100*(B173/B172-1)</f>
        <v>-6.4383483805185993E-2</v>
      </c>
      <c r="E173" s="183">
        <f t="shared" ref="E173" si="145">100*(B173/B$166-1)</f>
        <v>3.017313378741826</v>
      </c>
      <c r="F173" s="184">
        <f t="shared" ref="F173" si="146">(100*(B173/B161-1))</f>
        <v>4.1719866438772124</v>
      </c>
      <c r="G173" s="185">
        <f t="shared" ref="G173" si="147">100*(B173/B149-1)</f>
        <v>13.591237569904035</v>
      </c>
      <c r="H173" s="174">
        <f t="shared" si="99"/>
        <v>1.1920954236224091</v>
      </c>
    </row>
    <row r="174" spans="1:8" ht="16.5" customHeight="1">
      <c r="A174" s="163" t="str">
        <f>Carter!A174</f>
        <v>AGOSTO|17</v>
      </c>
      <c r="B174" s="175">
        <f>[220]Inicial!$C$13</f>
        <v>16.750692281811958</v>
      </c>
      <c r="C174" s="165">
        <f t="shared" ref="C174" si="148">100*B174/B$8</f>
        <v>197.53174860627308</v>
      </c>
      <c r="D174" s="183">
        <f t="shared" ref="D174" si="149">100*(B174/B173-1)</f>
        <v>2.9495075344865285E-2</v>
      </c>
      <c r="E174" s="183">
        <f t="shared" ref="E174" si="150">100*(B174/B$166-1)</f>
        <v>3.0476984129411466</v>
      </c>
      <c r="F174" s="184">
        <f t="shared" ref="F174" si="151">(100*(B174/B162-1))</f>
        <v>3.8789634390152372</v>
      </c>
      <c r="G174" s="185">
        <f t="shared" ref="G174" si="152">100*(B174/B150-1)</f>
        <v>13.458484298540974</v>
      </c>
      <c r="H174" s="174">
        <f t="shared" si="99"/>
        <v>1.1917439178559195</v>
      </c>
    </row>
    <row r="175" spans="1:8" ht="16.5" customHeight="1">
      <c r="A175" s="163" t="str">
        <f>Carter!A175</f>
        <v>SETEMBRO|17</v>
      </c>
      <c r="B175" s="175">
        <f>[221]Inicial!$C$13</f>
        <v>16.765845441810317</v>
      </c>
      <c r="C175" s="165">
        <f t="shared" ref="C175" si="153">100*B175/B$8</f>
        <v>197.71044153078205</v>
      </c>
      <c r="D175" s="183">
        <f t="shared" ref="D175" si="154">100*(B175/B174-1)</f>
        <v>9.0462888001430208E-2</v>
      </c>
      <c r="E175" s="183">
        <f t="shared" ref="E175" si="155">100*(B175/B$166-1)</f>
        <v>3.1409183369444982</v>
      </c>
      <c r="F175" s="184">
        <f t="shared" ref="F175" si="156">(100*(B175/B163-1))</f>
        <v>3.6518123911256861</v>
      </c>
      <c r="G175" s="185">
        <f t="shared" ref="G175" si="157">100*(B175/B151-1)</f>
        <v>13.48912996303202</v>
      </c>
      <c r="H175" s="174">
        <f t="shared" si="99"/>
        <v>1.1906668062764876</v>
      </c>
    </row>
    <row r="176" spans="1:8" ht="16.5" customHeight="1">
      <c r="A176" s="163" t="str">
        <f>Carter!A176</f>
        <v>OUTUBRO|17</v>
      </c>
      <c r="B176" s="175">
        <f>[222]Inicial!$C$13</f>
        <v>16.786935122493457</v>
      </c>
      <c r="C176" s="165">
        <f t="shared" ref="C176" si="158">100*B176/B$8</f>
        <v>197.95914059544171</v>
      </c>
      <c r="D176" s="183">
        <f t="shared" ref="D176" si="159">100*(B176/B175-1)</f>
        <v>0.12578954491937466</v>
      </c>
      <c r="E176" s="183">
        <f t="shared" ref="E176" si="160">100*(B176/B$166-1)</f>
        <v>3.2706588287462202</v>
      </c>
      <c r="F176" s="184">
        <f t="shared" ref="F176" si="161">(100*(B176/B164-1))</f>
        <v>3.6692429307088492</v>
      </c>
      <c r="G176" s="185">
        <f t="shared" ref="G176" si="162">100*(B176/B152-1)</f>
        <v>13.631887423145495</v>
      </c>
      <c r="H176" s="174">
        <f t="shared" si="99"/>
        <v>1.1891709535457089</v>
      </c>
    </row>
    <row r="177" spans="1:8" ht="16.5" customHeight="1">
      <c r="A177" s="163" t="str">
        <f>Carter!A177</f>
        <v>NOVEMBRO|17</v>
      </c>
      <c r="B177" s="175">
        <f>[223]Inicial!$C$13</f>
        <v>16.827570516289708</v>
      </c>
      <c r="C177" s="165">
        <f t="shared" ref="C177" si="163">100*B177/B$8</f>
        <v>198.43833156002012</v>
      </c>
      <c r="D177" s="183">
        <f t="shared" ref="D177" si="164">100*(B177/B176-1)</f>
        <v>0.24206559148371998</v>
      </c>
      <c r="E177" s="183">
        <f t="shared" ref="E177" si="165">100*(B177/B$166-1)</f>
        <v>3.5206415598691532</v>
      </c>
      <c r="F177" s="184">
        <f t="shared" ref="F177" si="166">(100*(B177/B165-1))</f>
        <v>3.6895289875813697</v>
      </c>
      <c r="G177" s="185">
        <f t="shared" ref="G177" si="167">100*(B177/B153-1)</f>
        <v>13.684419591512409</v>
      </c>
      <c r="H177" s="174">
        <f t="shared" si="99"/>
        <v>1.1862993310532275</v>
      </c>
    </row>
    <row r="178" spans="1:8" ht="16.5" customHeight="1">
      <c r="A178" s="163" t="str">
        <f>Carter!A178</f>
        <v>DEZEMBRO|17</v>
      </c>
      <c r="B178" s="175">
        <f>[224]Inicial!$C$13</f>
        <v>16.869024789462625</v>
      </c>
      <c r="C178" s="165">
        <f t="shared" ref="C178" si="168">100*B178/B$8</f>
        <v>198.92717912102148</v>
      </c>
      <c r="D178" s="183">
        <f t="shared" ref="D178" si="169">100*(B178/B177-1)</f>
        <v>0.24634734486945753</v>
      </c>
      <c r="E178" s="183">
        <f t="shared" ref="E178" si="170">100*(B178/B$166-1)</f>
        <v>3.7756619117437218</v>
      </c>
      <c r="F178" s="184">
        <f t="shared" ref="F178" si="171">(100*(B178/B166-1))</f>
        <v>3.7756619117437218</v>
      </c>
      <c r="G178" s="185">
        <f t="shared" ref="G178" si="172">100*(B178/B154-1)</f>
        <v>13.733356539049257</v>
      </c>
      <c r="H178" s="174">
        <f t="shared" si="99"/>
        <v>1.1833840957537307</v>
      </c>
    </row>
    <row r="179" spans="1:8" ht="16.5" customHeight="1">
      <c r="A179" s="163" t="str">
        <f>Carter!A179</f>
        <v>JANEIRO|18</v>
      </c>
      <c r="B179" s="175">
        <f>[225]Inicial!$C$13</f>
        <v>16.944949901273883</v>
      </c>
      <c r="C179" s="165">
        <f t="shared" ref="C179" si="173">100*B179/B$8</f>
        <v>199.82252242068256</v>
      </c>
      <c r="D179" s="183">
        <f t="shared" ref="D179" si="174">100*(B179/B178-1)</f>
        <v>0.450085957895352</v>
      </c>
      <c r="E179" s="183">
        <f t="shared" ref="E179:E184" si="175">100*(B179/B$178-1)</f>
        <v>0.450085957895352</v>
      </c>
      <c r="F179" s="184">
        <f t="shared" ref="F179" si="176">(100*(B179/B167-1))</f>
        <v>3.8002188184780739</v>
      </c>
      <c r="G179" s="185">
        <f t="shared" ref="G179" si="177">100*(B179/B155-1)</f>
        <v>14.170810636557851</v>
      </c>
      <c r="H179" s="174">
        <f t="shared" si="99"/>
        <v>1.1780817153802714</v>
      </c>
    </row>
    <row r="180" spans="1:8" ht="16.5" customHeight="1">
      <c r="A180" s="163" t="str">
        <f>Carter!A180</f>
        <v>FEVEREIRO|18</v>
      </c>
      <c r="B180" s="175">
        <f>[226]Inicial!$C$13</f>
        <v>16.999732063770363</v>
      </c>
      <c r="C180" s="165">
        <f t="shared" ref="C180" si="178">100*B180/B$8</f>
        <v>200.46853848785804</v>
      </c>
      <c r="D180" s="183">
        <f t="shared" ref="D180" si="179">100*(B180/B179-1)</f>
        <v>0.32329492158817974</v>
      </c>
      <c r="E180" s="183">
        <f t="shared" si="175"/>
        <v>0.77483598452818825</v>
      </c>
      <c r="F180" s="184">
        <f t="shared" ref="F180" si="180">(100*(B180/B168-1))</f>
        <v>3.7739484426122516</v>
      </c>
      <c r="G180" s="185">
        <f t="shared" ref="G180" si="181">100*(B180/B156-1)</f>
        <v>14.113291497982949</v>
      </c>
      <c r="H180" s="174">
        <f t="shared" si="99"/>
        <v>1.1742853106061257</v>
      </c>
    </row>
    <row r="181" spans="1:8" ht="16.5" customHeight="1">
      <c r="A181" s="163" t="str">
        <f>Carter!A181</f>
        <v>MARÇO|18</v>
      </c>
      <c r="B181" s="175">
        <f>[227]Inicial!$C$13</f>
        <v>17.013779119260377</v>
      </c>
      <c r="C181" s="165">
        <f t="shared" ref="C181" si="182">100*B181/B$8</f>
        <v>200.63418772712708</v>
      </c>
      <c r="D181" s="183">
        <f t="shared" ref="D181" si="183">100*(B181/B180-1)</f>
        <v>8.2631040520642074E-2</v>
      </c>
      <c r="E181" s="183">
        <f t="shared" si="175"/>
        <v>0.85810728008517412</v>
      </c>
      <c r="F181" s="184">
        <f t="shared" ref="F181" si="184">(100*(B181/B169-1))</f>
        <v>3.6825068098506053</v>
      </c>
      <c r="G181" s="185">
        <f t="shared" ref="G181" si="185">100*(B181/B157-1)</f>
        <v>13.926313658144718</v>
      </c>
      <c r="H181" s="174">
        <f t="shared" si="99"/>
        <v>1.1733157875622702</v>
      </c>
    </row>
    <row r="182" spans="1:8" ht="16.5" customHeight="1">
      <c r="A182" s="163" t="str">
        <f>Carter!A182</f>
        <v>ABRIL|18</v>
      </c>
      <c r="B182" s="175">
        <f>[228]Inicial!$C$13</f>
        <v>17.04776482589056</v>
      </c>
      <c r="C182" s="165">
        <f t="shared" ref="C182" si="186">100*B182/B$8</f>
        <v>201.03496256946414</v>
      </c>
      <c r="D182" s="183">
        <f t="shared" ref="D182" si="187">100*(B182/B181-1)</f>
        <v>0.19975401344967114</v>
      </c>
      <c r="E182" s="183">
        <f t="shared" si="175"/>
        <v>1.0595753972665101</v>
      </c>
      <c r="F182" s="184">
        <f t="shared" ref="F182" si="188">(100*(B182/B170-1))</f>
        <v>3.6636451854427543</v>
      </c>
      <c r="G182" s="185">
        <f t="shared" ref="G182" si="189">100*(B182/B158-1)</f>
        <v>14.022588663562342</v>
      </c>
      <c r="H182" s="174">
        <f t="shared" si="99"/>
        <v>1.170976714578339</v>
      </c>
    </row>
    <row r="183" spans="1:8" ht="16.5" customHeight="1">
      <c r="A183" s="163" t="str">
        <f>Carter!A183</f>
        <v>MAIO|18</v>
      </c>
      <c r="B183" s="175">
        <f>[229]Inicial!$C$13</f>
        <v>17.091331402720815</v>
      </c>
      <c r="C183" s="165">
        <f t="shared" ref="C183" si="190">100*B183/B$8</f>
        <v>201.54871937170773</v>
      </c>
      <c r="D183" s="183">
        <f t="shared" ref="D183" si="191">100*(B183/B182-1)</f>
        <v>0.25555594692443506</v>
      </c>
      <c r="E183" s="183">
        <f t="shared" si="175"/>
        <v>1.3178391521308175</v>
      </c>
      <c r="F183" s="184">
        <f t="shared" ref="F183" si="192">(100*(B183/B171-1))</f>
        <v>2.1847901910652556</v>
      </c>
      <c r="G183" s="185">
        <f t="shared" ref="G183" si="193">100*(B183/B159-1)</f>
        <v>11.016271441199565</v>
      </c>
      <c r="H183" s="174">
        <f t="shared" si="99"/>
        <v>1.1679918419666009</v>
      </c>
    </row>
    <row r="184" spans="1:8" ht="16.5" customHeight="1">
      <c r="A184" s="163" t="str">
        <f>Carter!A184</f>
        <v>JUNHO|18</v>
      </c>
      <c r="B184" s="175">
        <f>[230]Inicial!$C$13</f>
        <v>17.365747459339222</v>
      </c>
      <c r="C184" s="165">
        <f t="shared" ref="C184" si="194">100*B184/B$8</f>
        <v>204.78475777522667</v>
      </c>
      <c r="D184" s="183">
        <f t="shared" ref="D184" si="195">100*(B184/B183-1)</f>
        <v>1.6055861895856838</v>
      </c>
      <c r="E184" s="183">
        <f t="shared" si="175"/>
        <v>2.9445843851440667</v>
      </c>
      <c r="F184" s="184">
        <f t="shared" ref="F184" si="196">(100*(B184/B172-1))</f>
        <v>3.6356303168121995</v>
      </c>
      <c r="G184" s="185">
        <f t="shared" ref="G184" si="197">100*(B184/B160-1)</f>
        <v>11.711795990568064</v>
      </c>
      <c r="H184" s="174">
        <f t="shared" si="99"/>
        <v>1.1495350657071621</v>
      </c>
    </row>
    <row r="185" spans="1:8" ht="16.5" customHeight="1">
      <c r="A185" s="163" t="str">
        <f>Carter!A185</f>
        <v>JULHO|18</v>
      </c>
      <c r="B185" s="175">
        <f>[231]Inicial!$C$13</f>
        <v>17.513437199611005</v>
      </c>
      <c r="C185" s="165">
        <f t="shared" ref="C185" si="198">100*B185/B$8</f>
        <v>206.52638207088449</v>
      </c>
      <c r="D185" s="183">
        <f t="shared" ref="D185" si="199">100*(B185/B184-1)</f>
        <v>0.85046578396690276</v>
      </c>
      <c r="E185" s="183">
        <f t="shared" ref="E185" si="200">100*(B185/B$178-1)</f>
        <v>3.8200928517866606</v>
      </c>
      <c r="F185" s="184">
        <f t="shared" ref="F185" si="201">(100*(B185/B173-1))</f>
        <v>4.5843509413061811</v>
      </c>
      <c r="G185" s="185">
        <f t="shared" ref="G185" si="202">100*(B185/B161-1)</f>
        <v>8.9475960941631563</v>
      </c>
      <c r="H185" s="174">
        <f t="shared" si="99"/>
        <v>1.1398411070996897</v>
      </c>
    </row>
    <row r="186" spans="1:8" ht="16.5" customHeight="1">
      <c r="A186" s="163" t="str">
        <f>Carter!A186</f>
        <v>AGOSTO|18</v>
      </c>
      <c r="B186" s="175">
        <f>[232]Inicial!$C$13</f>
        <v>17.564640709588417</v>
      </c>
      <c r="C186" s="165">
        <f t="shared" ref="C186" si="203">100*B186/B$8</f>
        <v>207.13019704703319</v>
      </c>
      <c r="D186" s="183">
        <f t="shared" ref="D186" si="204">100*(B186/B185-1)</f>
        <v>0.29236699451864467</v>
      </c>
      <c r="E186" s="183">
        <f t="shared" ref="E186" si="205">100*(B186/B$178-1)</f>
        <v>4.1236285369638859</v>
      </c>
      <c r="F186" s="184">
        <f t="shared" ref="F186" si="206">(100*(B186/B174-1))</f>
        <v>4.8591927669774604</v>
      </c>
      <c r="G186" s="185">
        <f t="shared" ref="G186" si="207">100*(B186/B162-1)</f>
        <v>8.9266425168550434</v>
      </c>
      <c r="H186" s="174">
        <f t="shared" si="99"/>
        <v>1.1365183026959431</v>
      </c>
    </row>
    <row r="187" spans="1:8" ht="16.5" customHeight="1">
      <c r="A187" s="163" t="str">
        <f>Carter!A187</f>
        <v>SETEMBRO|18</v>
      </c>
      <c r="B187" s="175">
        <f>[233]Inicial!$C$13</f>
        <v>17.618740830273996</v>
      </c>
      <c r="C187" s="165">
        <f t="shared" ref="C187" si="208">100*B187/B$8</f>
        <v>207.76817016832541</v>
      </c>
      <c r="D187" s="183">
        <f t="shared" ref="D187" si="209">100*(B187/B186-1)</f>
        <v>0.30800584868238001</v>
      </c>
      <c r="E187" s="183">
        <f t="shared" ref="E187" si="210">100*(B187/B$178-1)</f>
        <v>4.4443354027180471</v>
      </c>
      <c r="F187" s="184">
        <f t="shared" ref="F187" si="211">(100*(B187/B175-1))</f>
        <v>5.0871003876532539</v>
      </c>
      <c r="G187" s="185">
        <f t="shared" ref="G187" si="212">100*(B187/B163-1)</f>
        <v>8.9246841410842936</v>
      </c>
      <c r="H187" s="174">
        <f t="shared" si="99"/>
        <v>1.1330285086221483</v>
      </c>
    </row>
    <row r="188" spans="1:8" ht="16.5" customHeight="1">
      <c r="A188" s="163" t="str">
        <f>Carter!A188</f>
        <v>OUTUBRO|18</v>
      </c>
      <c r="B188" s="175">
        <f>[234]Inicial!$C$13</f>
        <v>17.702746563029521</v>
      </c>
      <c r="C188" s="165">
        <f t="shared" ref="C188" si="213">100*B188/B$8</f>
        <v>208.75880380931036</v>
      </c>
      <c r="D188" s="183">
        <f t="shared" ref="D188" si="214">100*(B188/B187-1)</f>
        <v>0.47679759617769157</v>
      </c>
      <c r="E188" s="183">
        <f t="shared" ref="E188" si="215">100*(B188/B$178-1)</f>
        <v>4.9423234832619789</v>
      </c>
      <c r="F188" s="184">
        <f t="shared" ref="F188" si="216">(100*(B188/B176-1))</f>
        <v>5.4555011611913118</v>
      </c>
      <c r="G188" s="185">
        <f t="shared" ref="G188" si="217">100*(B188/B164-1)</f>
        <v>9.3249196825919256</v>
      </c>
      <c r="H188" s="174">
        <f t="shared" si="99"/>
        <v>1.1276518915101754</v>
      </c>
    </row>
    <row r="189" spans="1:8" ht="16.5" customHeight="1">
      <c r="A189" s="163" t="str">
        <f>Carter!A189</f>
        <v>NOVEMBRO|18</v>
      </c>
      <c r="B189" s="175">
        <f>[235]Inicial!$C$13</f>
        <v>17.774052139834843</v>
      </c>
      <c r="C189" s="165">
        <f t="shared" ref="C189" si="218">100*B189/B$8</f>
        <v>209.59967146031653</v>
      </c>
      <c r="D189" s="183">
        <f t="shared" ref="D189" si="219">100*(B189/B188-1)</f>
        <v>0.4027938633784478</v>
      </c>
      <c r="E189" s="183">
        <f t="shared" ref="E189" si="220">100*(B189/B$178-1)</f>
        <v>5.3650247223393288</v>
      </c>
      <c r="F189" s="184">
        <f t="shared" ref="F189" si="221">(100*(B189/B177-1))</f>
        <v>5.6245886631638653</v>
      </c>
      <c r="G189" s="185">
        <f t="shared" ref="G189" si="222">100*(B189/B165-1)</f>
        <v>9.5216384799048814</v>
      </c>
      <c r="H189" s="174">
        <f t="shared" si="99"/>
        <v>1.1231280008448872</v>
      </c>
    </row>
    <row r="190" spans="1:8" ht="16.5" customHeight="1">
      <c r="A190" s="163" t="str">
        <f>Carter!A190</f>
        <v>DEZEMBRO|18</v>
      </c>
      <c r="B190" s="175">
        <f>[236]Inicial!$C$13</f>
        <v>17.780314618099599</v>
      </c>
      <c r="C190" s="165">
        <f t="shared" ref="C190" si="223">100*B190/B$8</f>
        <v>209.67352143985374</v>
      </c>
      <c r="D190" s="183">
        <f t="shared" ref="D190" si="224">100*(B190/B189-1)</f>
        <v>3.5233824090785681E-2</v>
      </c>
      <c r="E190" s="183">
        <f t="shared" ref="E190" si="225">100*(B190/B$178-1)</f>
        <v>5.4021488498032122</v>
      </c>
      <c r="F190" s="184">
        <f t="shared" ref="F190" si="226">(100*(B190/B178-1))</f>
        <v>5.4021488498032122</v>
      </c>
      <c r="G190" s="185">
        <f t="shared" ref="G190" si="227">100*(B190/B166-1)</f>
        <v>9.3817776380846531</v>
      </c>
      <c r="H190" s="174">
        <f t="shared" si="99"/>
        <v>1.122732419279268</v>
      </c>
    </row>
    <row r="191" spans="1:8" ht="16.5" customHeight="1">
      <c r="A191" s="163" t="str">
        <f>Carter!A191</f>
        <v>JANEIRO|19</v>
      </c>
      <c r="B191" s="175">
        <f>[237]Inicial!$C$13</f>
        <v>17.810194778896314</v>
      </c>
      <c r="C191" s="165">
        <f t="shared" ref="C191" si="228">100*B191/B$8</f>
        <v>210.02588182660747</v>
      </c>
      <c r="D191" s="183">
        <f t="shared" ref="D191" si="229">100*(B191/B190-1)</f>
        <v>0.16805192393107848</v>
      </c>
      <c r="E191" s="183">
        <f t="shared" ref="E191:E196" si="230">100*(B191/B$190-1)</f>
        <v>0.16805192393107848</v>
      </c>
      <c r="F191" s="184">
        <f t="shared" ref="F191" si="231">(100*(B191/B179-1))</f>
        <v>5.1062108927060423</v>
      </c>
      <c r="G191" s="185">
        <f t="shared" ref="G191" si="232">100*(B191/B167-1)</f>
        <v>9.1004768984399131</v>
      </c>
      <c r="H191" s="174">
        <f t="shared" si="99"/>
        <v>1.1208488112875405</v>
      </c>
    </row>
    <row r="192" spans="1:8" ht="16.5" customHeight="1">
      <c r="A192" s="196" t="str">
        <f>Carter!A192</f>
        <v>FEVEREIRO|19</v>
      </c>
      <c r="B192" s="272">
        <f>[238]Inicial!$C$13</f>
        <v>17.873082757997334</v>
      </c>
      <c r="C192" s="197">
        <f t="shared" ref="C192" si="233">100*B192/B$8</f>
        <v>210.76748535374213</v>
      </c>
      <c r="D192" s="269">
        <f t="shared" ref="D192" si="234">100*(B192/B191-1)</f>
        <v>0.35310101816257156</v>
      </c>
      <c r="E192" s="269">
        <f t="shared" si="230"/>
        <v>0.52174633514809887</v>
      </c>
      <c r="F192" s="270">
        <f t="shared" ref="F192" si="235">(100*(B192/B180-1))</f>
        <v>5.1374379957919825</v>
      </c>
      <c r="G192" s="271">
        <f t="shared" ref="G192" si="236">100*(B192/B168-1)</f>
        <v>9.1052706996365806</v>
      </c>
      <c r="H192" s="174">
        <f t="shared" si="99"/>
        <v>1.1169050083312142</v>
      </c>
    </row>
    <row r="193" spans="1:8" ht="16.5" customHeight="1">
      <c r="A193" s="196" t="str">
        <f>Carter!A193</f>
        <v>MARÇO|19</v>
      </c>
      <c r="B193" s="272">
        <f>[239]Inicial!$C$13</f>
        <v>17.967507308683487</v>
      </c>
      <c r="C193" s="197">
        <f t="shared" ref="C193" si="237">100*B193/B$8</f>
        <v>211.88098241372035</v>
      </c>
      <c r="D193" s="269">
        <f t="shared" ref="D193" si="238">100*(B193/B192-1)</f>
        <v>0.52830589979728781</v>
      </c>
      <c r="E193" s="269">
        <f t="shared" si="230"/>
        <v>1.0528086516159441</v>
      </c>
      <c r="F193" s="270">
        <f t="shared" ref="F193" si="239">(100*(B193/B181-1))</f>
        <v>5.6056222590984861</v>
      </c>
      <c r="G193" s="271">
        <f t="shared" ref="G193" si="240">100*(B193/B169-1)</f>
        <v>9.4945564903748938</v>
      </c>
      <c r="H193" s="174">
        <f t="shared" si="99"/>
        <v>1.1110353430649689</v>
      </c>
    </row>
    <row r="194" spans="1:8" ht="16.5" customHeight="1">
      <c r="A194" s="196" t="str">
        <f>Carter!A194</f>
        <v>ABRIL|19</v>
      </c>
      <c r="B194" s="272">
        <f>[240]Inicial!$C$13</f>
        <v>18.076325423572655</v>
      </c>
      <c r="C194" s="197">
        <f t="shared" ref="C194" si="241">100*B194/B$8</f>
        <v>213.16421490062092</v>
      </c>
      <c r="D194" s="269">
        <f t="shared" ref="D194" si="242">100*(B194/B193-1)</f>
        <v>0.60563835049383119</v>
      </c>
      <c r="E194" s="269">
        <f t="shared" si="230"/>
        <v>1.664823215061273</v>
      </c>
      <c r="F194" s="270">
        <f t="shared" ref="F194" si="243">(100*(B194/B182-1))</f>
        <v>6.0334044268373077</v>
      </c>
      <c r="G194" s="271">
        <f t="shared" ref="G194" si="244">100*(B194/B170-1)</f>
        <v>9.9180921430821911</v>
      </c>
      <c r="H194" s="174">
        <f t="shared" si="99"/>
        <v>1.1043469941458957</v>
      </c>
    </row>
    <row r="195" spans="1:8" ht="16.5" customHeight="1">
      <c r="A195" s="196" t="str">
        <f>Carter!A195</f>
        <v>MAIO|19</v>
      </c>
      <c r="B195" s="272">
        <f>[241]Inicial!$C$13</f>
        <v>18.515784251195861</v>
      </c>
      <c r="C195" s="197">
        <f t="shared" ref="C195" si="245">100*B195/B$8</f>
        <v>218.34651239617759</v>
      </c>
      <c r="D195" s="269">
        <f t="shared" ref="D195" si="246">100*(B195/B194-1)</f>
        <v>2.4311292108634142</v>
      </c>
      <c r="E195" s="269">
        <f t="shared" si="230"/>
        <v>4.1364264294152964</v>
      </c>
      <c r="F195" s="270">
        <f t="shared" ref="F195" si="247">(100*(B195/B183-1))</f>
        <v>8.334358599168489</v>
      </c>
      <c r="G195" s="271">
        <f t="shared" ref="G195" si="248">100*(B195/B171-1)</f>
        <v>10.70123703939656</v>
      </c>
      <c r="H195" s="174">
        <f t="shared" si="99"/>
        <v>1.0781361121895874</v>
      </c>
    </row>
    <row r="196" spans="1:8" ht="16.5" customHeight="1">
      <c r="A196" s="196" t="str">
        <f>Carter!A196</f>
        <v>JUNHO|19</v>
      </c>
      <c r="B196" s="272">
        <f>[242]Inicial!$C$13</f>
        <v>18.561196465413406</v>
      </c>
      <c r="C196" s="197">
        <f t="shared" ref="C196" si="249">100*B196/B$8</f>
        <v>218.88203379025242</v>
      </c>
      <c r="D196" s="269">
        <f t="shared" ref="D196" si="250">100*(B196/B195-1)</f>
        <v>0.24526216984090965</v>
      </c>
      <c r="E196" s="269">
        <f t="shared" si="230"/>
        <v>4.3918336884708697</v>
      </c>
      <c r="F196" s="270">
        <f t="shared" ref="F196" si="251">(100*(B196/B184-1))</f>
        <v>6.8839478915218022</v>
      </c>
      <c r="G196" s="271">
        <f t="shared" ref="G196" si="252">100*(B196/B172-1)</f>
        <v>10.769853104871729</v>
      </c>
      <c r="H196" s="174">
        <f t="shared" si="99"/>
        <v>1.0754983216692586</v>
      </c>
    </row>
    <row r="197" spans="1:8" ht="16.5" customHeight="1">
      <c r="A197" s="196" t="str">
        <f>Carter!A197</f>
        <v>JULHO|19</v>
      </c>
      <c r="B197" s="272">
        <f>[243]Inicial!$C$13</f>
        <v>18.627480366615853</v>
      </c>
      <c r="C197" s="197">
        <f t="shared" ref="C197" si="253">100*B197/B$8</f>
        <v>219.66368356858317</v>
      </c>
      <c r="D197" s="269">
        <f t="shared" ref="D197" si="254">100*(B197/B196-1)</f>
        <v>0.35711006737069173</v>
      </c>
      <c r="E197" s="269">
        <f t="shared" ref="E197" si="255">100*(B197/B$190-1)</f>
        <v>4.7646274360852781</v>
      </c>
      <c r="F197" s="270">
        <f t="shared" ref="F197" si="256">(100*(B197/B185-1))</f>
        <v>6.3610766653480866</v>
      </c>
      <c r="G197" s="271">
        <f t="shared" ref="G197" si="257">100*(B197/B173-1)</f>
        <v>11.237041684639371</v>
      </c>
      <c r="H197" s="174">
        <f t="shared" si="99"/>
        <v>1.0716712756547755</v>
      </c>
    </row>
    <row r="198" spans="1:8" ht="16.5" customHeight="1">
      <c r="A198" s="196" t="str">
        <f>Carter!A198</f>
        <v>AGOSTO|19</v>
      </c>
      <c r="B198" s="272">
        <f>[244]Inicial!$C$13</f>
        <v>18.69167494139732</v>
      </c>
      <c r="C198" s="197">
        <f t="shared" ref="C198" si="258">100*B198/B$8</f>
        <v>220.42069506364763</v>
      </c>
      <c r="D198" s="269">
        <f t="shared" ref="D198" si="259">100*(B198/B197-1)</f>
        <v>0.34462296305257656</v>
      </c>
      <c r="E198" s="269">
        <f t="shared" ref="E198" si="260">100*(B198/B$190-1)</f>
        <v>5.1256703993864949</v>
      </c>
      <c r="F198" s="270">
        <f t="shared" ref="F198" si="261">(100*(B198/B186-1))</f>
        <v>6.4164946522001109</v>
      </c>
      <c r="G198" s="271">
        <f t="shared" ref="G198" si="262">100*(B198/B174-1)</f>
        <v>11.587477263210765</v>
      </c>
      <c r="H198" s="174">
        <f t="shared" si="99"/>
        <v>1.0679907343409627</v>
      </c>
    </row>
    <row r="199" spans="1:8" ht="16.5" customHeight="1">
      <c r="A199" s="196" t="str">
        <f>Carter!A199</f>
        <v>SETEMBRO|19</v>
      </c>
      <c r="B199" s="272">
        <f>[245]Inicial!$C$13</f>
        <v>18.76719815443283</v>
      </c>
      <c r="C199" s="197">
        <f t="shared" ref="C199" si="263">100*B199/B$8</f>
        <v>221.31129899095316</v>
      </c>
      <c r="D199" s="269">
        <f t="shared" ref="D199" si="264">100*(B199/B198-1)</f>
        <v>0.40404732733847482</v>
      </c>
      <c r="E199" s="269">
        <f t="shared" ref="E199" si="265">100*(B199/B$190-1)</f>
        <v>5.5504278609818547</v>
      </c>
      <c r="F199" s="270">
        <f t="shared" ref="F199" si="266">(100*(B199/B187-1))</f>
        <v>6.5183847995848643</v>
      </c>
      <c r="G199" s="271">
        <f t="shared" ref="G199" si="267">100*(B199/B175-1)</f>
        <v>11.937081965646556</v>
      </c>
      <c r="H199" s="174">
        <f t="shared" si="99"/>
        <v>1.063692911560713</v>
      </c>
    </row>
    <row r="200" spans="1:8" ht="16.5" customHeight="1">
      <c r="A200" s="196" t="str">
        <f>Carter!A200</f>
        <v>OUTUBRO|19</v>
      </c>
      <c r="B200" s="272">
        <f>[246]Inicial!$C$13</f>
        <v>18.824020646508163</v>
      </c>
      <c r="C200" s="197">
        <f t="shared" ref="C200" si="268">100*B200/B$8</f>
        <v>221.9813755484453</v>
      </c>
      <c r="D200" s="269">
        <f t="shared" ref="D200" si="269">100*(B200/B199-1)</f>
        <v>0.30277557474349681</v>
      </c>
      <c r="E200" s="269">
        <f t="shared" ref="E200" si="270">100*(B200/B$190-1)</f>
        <v>5.8700087755821695</v>
      </c>
      <c r="F200" s="270">
        <f t="shared" ref="F200" si="271">(100*(B200/B188-1))</f>
        <v>6.3338989771243526</v>
      </c>
      <c r="G200" s="271">
        <f t="shared" ref="G200" si="272">100*(B200/B176-1)</f>
        <v>12.13494607056138</v>
      </c>
      <c r="H200" s="174">
        <f t="shared" si="99"/>
        <v>1.0604820309963123</v>
      </c>
    </row>
    <row r="201" spans="1:8" ht="16.5" customHeight="1">
      <c r="A201" s="196" t="str">
        <f>Carter!A201</f>
        <v>NOVEMBRO|19</v>
      </c>
      <c r="B201" s="272">
        <f>[247]Inicial!$C$13</f>
        <v>18.902655471858445</v>
      </c>
      <c r="C201" s="197">
        <f t="shared" ref="C201" si="273">100*B201/B$8</f>
        <v>222.90867301719862</v>
      </c>
      <c r="D201" s="269">
        <f t="shared" ref="D201" si="274">100*(B201/B200-1)</f>
        <v>0.41773660806554425</v>
      </c>
      <c r="E201" s="269">
        <f t="shared" ref="E201" si="275">100*(B201/B$190-1)</f>
        <v>6.312266559199986</v>
      </c>
      <c r="F201" s="270">
        <f t="shared" ref="F201" si="276">(100*(B201/B189-1))</f>
        <v>6.3497244361863769</v>
      </c>
      <c r="G201" s="271">
        <f t="shared" ref="G201" si="277">100*(B201/B177-1)</f>
        <v>12.331458980130128</v>
      </c>
      <c r="H201" s="174">
        <f t="shared" si="99"/>
        <v>1.0560704381691217</v>
      </c>
    </row>
    <row r="202" spans="1:8" ht="16.5" customHeight="1">
      <c r="A202" s="196" t="str">
        <f>Carter!A202</f>
        <v>DEZEMBRO|19</v>
      </c>
      <c r="B202" s="272">
        <f>[248]Inicial!$C$13</f>
        <v>19.01920594857825</v>
      </c>
      <c r="C202" s="197">
        <f t="shared" ref="C202" si="278">100*B202/B$8</f>
        <v>224.28308901625294</v>
      </c>
      <c r="D202" s="269">
        <f t="shared" ref="D202" si="279">100*(B202/B201-1)</f>
        <v>0.61658255843111132</v>
      </c>
      <c r="E202" s="269">
        <f t="shared" ref="E202" si="280">100*(B202/B$190-1)</f>
        <v>6.9677694522767952</v>
      </c>
      <c r="F202" s="270">
        <f t="shared" ref="F202" si="281">(100*(B202/B190-1))</f>
        <v>6.9677694522767952</v>
      </c>
      <c r="G202" s="271">
        <f t="shared" ref="G202" si="282">100*(B202/B178-1)</f>
        <v>12.746327579403127</v>
      </c>
      <c r="H202" s="174">
        <f t="shared" si="99"/>
        <v>1.0495987950652463</v>
      </c>
    </row>
    <row r="203" spans="1:8" ht="16.5" customHeight="1">
      <c r="A203" s="196" t="str">
        <f>Carter!A203</f>
        <v>JANEIRO|20</v>
      </c>
      <c r="B203" s="272">
        <f>[249]Inicial!$C$13</f>
        <v>19.208689119541908</v>
      </c>
      <c r="C203" s="197">
        <f t="shared" ref="C203" si="283">100*B203/B$8</f>
        <v>226.51756037195648</v>
      </c>
      <c r="D203" s="269">
        <f t="shared" ref="D203" si="284">100*(B203/B202-1)</f>
        <v>0.99627277540377257</v>
      </c>
      <c r="E203" s="269">
        <f t="shared" ref="E203:E208" si="285">100*(B203/B$202-1)</f>
        <v>0.99627277540377257</v>
      </c>
      <c r="F203" s="270">
        <f t="shared" ref="F203" si="286">(100*(B203/B191-1))</f>
        <v>7.8522124996785569</v>
      </c>
      <c r="G203" s="271">
        <f t="shared" ref="G203" si="287">100*(B203/B179-1)</f>
        <v>13.359373922361616</v>
      </c>
      <c r="H203" s="174">
        <f t="shared" si="99"/>
        <v>1.0392450792707486</v>
      </c>
    </row>
    <row r="204" spans="1:8" ht="16.5" customHeight="1">
      <c r="A204" s="196" t="str">
        <f>Carter!A204</f>
        <v>FEVEREIRO|20</v>
      </c>
      <c r="B204" s="272">
        <f>[250]Inicial!$C$13</f>
        <v>19.291965186440319</v>
      </c>
      <c r="C204" s="197">
        <f t="shared" ref="C204" si="288">100*B204/B$8</f>
        <v>227.49958946273958</v>
      </c>
      <c r="D204" s="269">
        <f t="shared" ref="D204" si="289">100*(B204/B203-1)</f>
        <v>0.43353331599129685</v>
      </c>
      <c r="E204" s="269">
        <f t="shared" si="285"/>
        <v>1.4341252657945835</v>
      </c>
      <c r="F204" s="270">
        <f t="shared" ref="F204" si="290">(100*(B204/B192-1))</f>
        <v>7.9386552821062883</v>
      </c>
      <c r="G204" s="271">
        <f t="shared" ref="G204" si="291">100*(B204/B180-1)</f>
        <v>13.483936770716154</v>
      </c>
      <c r="H204" s="174">
        <f t="shared" si="99"/>
        <v>1.0347590540312865</v>
      </c>
    </row>
    <row r="205" spans="1:8" ht="16.5" customHeight="1">
      <c r="A205" s="196" t="str">
        <f>Carter!A205</f>
        <v>MARÇO|20</v>
      </c>
      <c r="B205" s="272">
        <f>[251]Inicial!$C$13</f>
        <v>19.343411331794755</v>
      </c>
      <c r="C205" s="197">
        <f t="shared" ref="C205" si="292">100*B205/B$8</f>
        <v>228.10626570512682</v>
      </c>
      <c r="D205" s="269">
        <f t="shared" ref="D205" si="293">100*(B205/B204-1)</f>
        <v>0.26667135699889322</v>
      </c>
      <c r="E205" s="269">
        <f t="shared" si="285"/>
        <v>1.7046210241008497</v>
      </c>
      <c r="F205" s="270">
        <f t="shared" ref="F205" si="294">(100*(B205/B193-1))</f>
        <v>7.6577345954177423</v>
      </c>
      <c r="G205" s="271">
        <f t="shared" ref="G205" si="295">100*(B205/B181-1)</f>
        <v>13.692620529539656</v>
      </c>
      <c r="H205" s="174">
        <f t="shared" si="99"/>
        <v>1.0320069869947441</v>
      </c>
    </row>
    <row r="206" spans="1:8" ht="16.5" customHeight="1">
      <c r="A206" s="196" t="str">
        <f>Carter!A206</f>
        <v>ABRIL|20</v>
      </c>
      <c r="B206" s="272">
        <f>[252]Inicial!$C$13</f>
        <v>19.425338415494327</v>
      </c>
      <c r="C206" s="197">
        <f t="shared" ref="C206" si="296">100*B206/B$8</f>
        <v>229.07238697516894</v>
      </c>
      <c r="D206" s="269">
        <f t="shared" ref="D206" si="297">100*(B206/B205-1)</f>
        <v>0.42353999661326469</v>
      </c>
      <c r="E206" s="269">
        <f t="shared" si="285"/>
        <v>2.1353807725418505</v>
      </c>
      <c r="F206" s="270">
        <f t="shared" ref="F206" si="298">(100*(B206/B194-1))</f>
        <v>7.4628717967340608</v>
      </c>
      <c r="G206" s="271">
        <f t="shared" ref="G206" si="299">100*(B206/B182-1)</f>
        <v>13.94654146092471</v>
      </c>
      <c r="H206" s="174">
        <f t="shared" si="99"/>
        <v>1.0276544593324912</v>
      </c>
    </row>
    <row r="207" spans="1:8" ht="16.5" customHeight="1">
      <c r="A207" s="196" t="str">
        <f>Carter!A207</f>
        <v>MAIO|20</v>
      </c>
      <c r="B207" s="272">
        <f>[253]Inicial!$C$13</f>
        <v>19.482975937977621</v>
      </c>
      <c r="C207" s="197">
        <f t="shared" ref="C207" si="300">100*B207/B$8</f>
        <v>229.75207474030213</v>
      </c>
      <c r="D207" s="269">
        <f t="shared" ref="D207" si="301">100*(B207/B206-1)</f>
        <v>0.29671309323147099</v>
      </c>
      <c r="E207" s="269">
        <f t="shared" si="285"/>
        <v>2.438429820115795</v>
      </c>
      <c r="F207" s="270">
        <f t="shared" ref="F207" si="302">(100*(B207/B195-1))</f>
        <v>5.2236063763774654</v>
      </c>
      <c r="G207" s="271">
        <f t="shared" ref="G207" si="303">100*(B207/B183-1)</f>
        <v>13.993319062762266</v>
      </c>
      <c r="H207" s="174">
        <f t="shared" si="99"/>
        <v>1.0246142945653944</v>
      </c>
    </row>
    <row r="208" spans="1:8" ht="16.5" customHeight="1">
      <c r="A208" s="196" t="str">
        <f>Carter!A208</f>
        <v>JUNHO|20</v>
      </c>
      <c r="B208" s="272">
        <f>[254]Inicial!$C$13</f>
        <v>19.550292377811992</v>
      </c>
      <c r="C208" s="197">
        <f t="shared" ref="C208" si="304">100*B208/B$8</f>
        <v>230.5459006817452</v>
      </c>
      <c r="D208" s="269">
        <f t="shared" ref="D208" si="305">100*(B208/B207-1)</f>
        <v>0.34551415578742972</v>
      </c>
      <c r="E208" s="269">
        <f t="shared" si="285"/>
        <v>2.7923690961106695</v>
      </c>
      <c r="F208" s="270">
        <f t="shared" ref="F208" si="306">(100*(B208/B196-1))</f>
        <v>5.3288370404442897</v>
      </c>
      <c r="G208" s="271">
        <f t="shared" ref="G208" si="307">100*(B208/B184-1)</f>
        <v>12.5796192970544</v>
      </c>
      <c r="H208" s="174">
        <f t="shared" si="99"/>
        <v>1.0210862968669137</v>
      </c>
    </row>
    <row r="209" spans="1:8" ht="16.5" customHeight="1">
      <c r="A209" s="196" t="str">
        <f>Carter!A209</f>
        <v>JULHO|20</v>
      </c>
      <c r="B209" s="272">
        <f>[255]Inicial!$C$13</f>
        <v>19.667914455821442</v>
      </c>
      <c r="C209" s="197">
        <f t="shared" ref="C209" si="308">100*B209/B$8</f>
        <v>231.93295348846038</v>
      </c>
      <c r="D209" s="269">
        <f t="shared" ref="D209" si="309">100*(B209/B208-1)</f>
        <v>0.60163846011296318</v>
      </c>
      <c r="E209" s="269">
        <f t="shared" ref="E209" si="310">100*(B209/B$202-1)</f>
        <v>3.4108075226541468</v>
      </c>
      <c r="F209" s="270">
        <f t="shared" ref="F209" si="311">(100*(B209/B197-1))</f>
        <v>5.5854794568472865</v>
      </c>
      <c r="G209" s="271">
        <f t="shared" ref="G209" si="312">100*(B209/B185-1)</f>
        <v>12.301852752572696</v>
      </c>
      <c r="H209" s="174">
        <f t="shared" si="99"/>
        <v>1.014979788099335</v>
      </c>
    </row>
    <row r="210" spans="1:8" ht="16.5" customHeight="1">
      <c r="A210" s="196" t="str">
        <f>Carter!A210</f>
        <v>AGOSTO|20</v>
      </c>
      <c r="B210" s="272">
        <f>[256]Inicial!$C$13</f>
        <v>19.788552931951628</v>
      </c>
      <c r="C210" s="197">
        <f t="shared" ref="C210" si="313">100*B210/B$8</f>
        <v>233.35557702773147</v>
      </c>
      <c r="D210" s="269">
        <f t="shared" ref="D210" si="314">100*(B210/B209-1)</f>
        <v>0.61337706344597454</v>
      </c>
      <c r="E210" s="269">
        <f t="shared" ref="E210" si="315">100*(B210/B$202-1)</f>
        <v>4.0451056971223753</v>
      </c>
      <c r="F210" s="270">
        <f t="shared" ref="F210" si="316">(100*(B210/B198-1))</f>
        <v>5.8682702004676957</v>
      </c>
      <c r="G210" s="271">
        <f t="shared" ref="G210" si="317">100*(B210/B186-1)</f>
        <v>12.661302096257465</v>
      </c>
      <c r="H210" s="268">
        <f t="shared" si="99"/>
        <v>1.0087920888087247</v>
      </c>
    </row>
    <row r="211" spans="1:8" ht="16.5" customHeight="1" thickBot="1">
      <c r="A211" s="151" t="str">
        <f>Carter!A211</f>
        <v>SETEMBRO|20</v>
      </c>
      <c r="B211" s="152">
        <f>[259]Inicial!$C$13</f>
        <v>19.962535646725495</v>
      </c>
      <c r="C211" s="153">
        <f t="shared" ref="C211" si="318">100*B211/B$8</f>
        <v>235.40725998497047</v>
      </c>
      <c r="D211" s="186">
        <f t="shared" ref="D211" si="319">100*(B211/B210-1)</f>
        <v>0.87920888087247295</v>
      </c>
      <c r="E211" s="186">
        <f t="shared" ref="E211" si="320">100*(B211/B$202-1)</f>
        <v>4.9598795065246337</v>
      </c>
      <c r="F211" s="187">
        <f t="shared" ref="F211" si="321">(100*(B211/B199-1))</f>
        <v>6.3692911560712995</v>
      </c>
      <c r="G211" s="188">
        <f t="shared" ref="G211" si="322">100*(B211/B187-1)</f>
        <v>13.302850862214832</v>
      </c>
      <c r="H211" s="157">
        <f t="shared" si="99"/>
        <v>1</v>
      </c>
    </row>
    <row r="212" spans="1:8">
      <c r="A212" s="103" t="s">
        <v>18</v>
      </c>
      <c r="B212" s="104"/>
      <c r="C212" s="104"/>
      <c r="D212" s="104"/>
      <c r="E212" s="104"/>
      <c r="F212" s="104"/>
      <c r="G212" s="104"/>
      <c r="H212" s="104"/>
    </row>
    <row r="213" spans="1:8">
      <c r="A213" s="103"/>
      <c r="B213" s="104"/>
      <c r="C213" s="104"/>
      <c r="D213" s="104"/>
      <c r="E213" s="104"/>
      <c r="F213" s="104"/>
      <c r="G213" s="104"/>
      <c r="H213" s="104"/>
    </row>
    <row r="214" spans="1:8">
      <c r="B214" s="104"/>
      <c r="C214" s="104"/>
      <c r="D214" s="104"/>
      <c r="E214" s="104"/>
      <c r="F214" s="104"/>
      <c r="G214" s="104"/>
      <c r="H214" s="104"/>
    </row>
    <row r="215" spans="1:8">
      <c r="A215" s="105"/>
      <c r="B215" s="104"/>
      <c r="C215" s="104"/>
      <c r="D215" s="104"/>
      <c r="E215" s="104"/>
      <c r="F215" s="104"/>
      <c r="G215" s="104"/>
      <c r="H215" s="104"/>
    </row>
    <row r="216" spans="1:8">
      <c r="B216" s="104"/>
      <c r="C216" s="104"/>
      <c r="D216" s="104"/>
      <c r="E216" s="104"/>
      <c r="F216" s="104"/>
      <c r="G216" s="104"/>
      <c r="H216" s="104"/>
    </row>
    <row r="217" spans="1:8">
      <c r="B217" s="104"/>
      <c r="C217" s="104"/>
      <c r="D217" s="104"/>
      <c r="E217" s="104"/>
      <c r="F217" s="104"/>
      <c r="G217" s="104"/>
      <c r="H217" s="104"/>
    </row>
    <row r="218" spans="1:8">
      <c r="A218" s="106"/>
      <c r="B218" s="104"/>
      <c r="C218" s="104"/>
      <c r="D218" s="104"/>
      <c r="E218" s="104"/>
      <c r="F218" s="104"/>
      <c r="G218" s="104"/>
      <c r="H218" s="104"/>
    </row>
    <row r="219" spans="1:8">
      <c r="A219" s="106"/>
      <c r="B219" s="107"/>
      <c r="C219" s="107"/>
      <c r="D219" s="108"/>
      <c r="E219" s="107"/>
      <c r="F219" s="104"/>
      <c r="G219" s="104"/>
      <c r="H219" s="104"/>
    </row>
    <row r="220" spans="1:8">
      <c r="B220" s="104"/>
      <c r="C220" s="104"/>
      <c r="D220" s="104"/>
      <c r="E220" s="104"/>
      <c r="F220" s="104"/>
      <c r="G220" s="104"/>
      <c r="H220" s="104"/>
    </row>
    <row r="221" spans="1:8">
      <c r="B221" s="104"/>
      <c r="C221" s="104"/>
      <c r="D221" s="104"/>
      <c r="E221" s="104"/>
      <c r="F221" s="104"/>
      <c r="G221" s="104"/>
      <c r="H221" s="104"/>
    </row>
    <row r="222" spans="1:8">
      <c r="B222" s="104"/>
      <c r="C222" s="104"/>
      <c r="D222" s="104"/>
      <c r="E222" s="104"/>
      <c r="F222" s="104"/>
      <c r="G222" s="104"/>
      <c r="H222" s="104"/>
    </row>
    <row r="223" spans="1:8">
      <c r="B223" s="104"/>
      <c r="C223" s="104"/>
      <c r="D223" s="104"/>
      <c r="E223" s="104"/>
      <c r="F223" s="104"/>
      <c r="G223" s="104"/>
      <c r="H223" s="104"/>
    </row>
    <row r="224" spans="1:8">
      <c r="B224" s="104"/>
      <c r="C224" s="104"/>
      <c r="D224" s="104"/>
      <c r="E224" s="104"/>
      <c r="F224" s="104"/>
      <c r="G224" s="104"/>
      <c r="H224" s="104"/>
    </row>
    <row r="225" spans="1:8">
      <c r="B225" s="104"/>
      <c r="C225" s="104"/>
      <c r="D225" s="104"/>
      <c r="E225" s="104"/>
      <c r="F225" s="104"/>
      <c r="G225" s="104"/>
      <c r="H225" s="104"/>
    </row>
    <row r="226" spans="1:8">
      <c r="B226" s="104"/>
      <c r="C226" s="104"/>
      <c r="D226" s="104"/>
      <c r="E226" s="104"/>
      <c r="F226" s="104"/>
      <c r="G226" s="104"/>
      <c r="H226" s="104"/>
    </row>
    <row r="227" spans="1:8">
      <c r="B227" s="104"/>
      <c r="C227" s="104"/>
      <c r="D227" s="104"/>
      <c r="E227" s="104"/>
      <c r="F227" s="104"/>
      <c r="G227" s="104"/>
      <c r="H227" s="104"/>
    </row>
    <row r="228" spans="1:8">
      <c r="B228" s="104"/>
      <c r="C228" s="104"/>
      <c r="D228" s="104"/>
      <c r="E228" s="104"/>
      <c r="F228" s="104"/>
      <c r="G228" s="104"/>
      <c r="H228" s="104"/>
    </row>
    <row r="229" spans="1:8">
      <c r="B229" s="104"/>
      <c r="C229" s="104"/>
      <c r="D229" s="104"/>
      <c r="E229" s="104"/>
      <c r="F229" s="104"/>
      <c r="G229" s="104"/>
      <c r="H229" s="104"/>
    </row>
    <row r="230" spans="1:8">
      <c r="B230" s="104"/>
      <c r="C230" s="104"/>
      <c r="D230" s="104"/>
      <c r="E230" s="104"/>
      <c r="F230" s="104"/>
      <c r="G230" s="104"/>
      <c r="H230" s="104"/>
    </row>
    <row r="231" spans="1:8">
      <c r="B231" s="104"/>
      <c r="C231" s="104"/>
      <c r="D231" s="104"/>
      <c r="E231" s="104"/>
      <c r="F231" s="104"/>
      <c r="G231" s="104"/>
      <c r="H231" s="104"/>
    </row>
    <row r="232" spans="1:8">
      <c r="A232" s="105"/>
      <c r="B232" s="104"/>
      <c r="C232" s="104"/>
      <c r="D232" s="104"/>
      <c r="E232" s="104"/>
      <c r="F232" s="104"/>
      <c r="G232" s="104"/>
      <c r="H232" s="104"/>
    </row>
    <row r="233" spans="1:8">
      <c r="B233" s="104"/>
      <c r="C233" s="104"/>
      <c r="D233" s="104"/>
      <c r="E233" s="104"/>
      <c r="F233" s="104"/>
      <c r="G233" s="104"/>
      <c r="H233" s="104"/>
    </row>
    <row r="234" spans="1:8">
      <c r="B234" s="104"/>
      <c r="C234" s="104"/>
      <c r="D234" s="104"/>
      <c r="E234" s="104"/>
      <c r="F234" s="104"/>
      <c r="G234" s="104"/>
      <c r="H234" s="104"/>
    </row>
    <row r="235" spans="1:8">
      <c r="A235" s="106"/>
      <c r="B235" s="104"/>
      <c r="C235" s="104"/>
      <c r="D235" s="104"/>
      <c r="E235" s="104"/>
      <c r="F235" s="104"/>
      <c r="G235" s="104"/>
      <c r="H235" s="104"/>
    </row>
    <row r="236" spans="1:8">
      <c r="A236" s="106"/>
      <c r="B236" s="107"/>
      <c r="C236" s="107"/>
      <c r="D236" s="108"/>
      <c r="E236" s="107"/>
      <c r="F236" s="104"/>
      <c r="G236" s="104"/>
      <c r="H236" s="104"/>
    </row>
    <row r="237" spans="1:8">
      <c r="B237" s="104"/>
      <c r="C237" s="104"/>
      <c r="D237" s="104"/>
      <c r="E237" s="104"/>
      <c r="F237" s="104"/>
      <c r="G237" s="104"/>
      <c r="H237" s="104"/>
    </row>
    <row r="238" spans="1:8">
      <c r="B238" s="104"/>
      <c r="C238" s="104"/>
      <c r="D238" s="104"/>
      <c r="E238" s="104"/>
      <c r="F238" s="104"/>
      <c r="G238" s="104"/>
      <c r="H238" s="104"/>
    </row>
    <row r="239" spans="1:8">
      <c r="B239" s="104"/>
      <c r="C239" s="104"/>
      <c r="D239" s="104"/>
      <c r="E239" s="104"/>
      <c r="F239" s="104"/>
      <c r="G239" s="104"/>
      <c r="H239" s="104"/>
    </row>
    <row r="240" spans="1:8">
      <c r="B240" s="104"/>
      <c r="C240" s="104"/>
      <c r="D240" s="104"/>
      <c r="E240" s="104"/>
      <c r="F240" s="104"/>
      <c r="G240" s="104"/>
      <c r="H240" s="104"/>
    </row>
    <row r="241" spans="1:8">
      <c r="B241" s="104"/>
      <c r="C241" s="104"/>
      <c r="D241" s="104"/>
      <c r="E241" s="104"/>
      <c r="F241" s="104"/>
      <c r="G241" s="104"/>
      <c r="H241" s="104"/>
    </row>
    <row r="242" spans="1:8">
      <c r="B242" s="104"/>
      <c r="C242" s="104"/>
      <c r="D242" s="104"/>
      <c r="E242" s="104"/>
      <c r="F242" s="104"/>
      <c r="G242" s="104"/>
      <c r="H242" s="104"/>
    </row>
    <row r="243" spans="1:8">
      <c r="B243" s="104"/>
      <c r="C243" s="104"/>
      <c r="D243" s="104"/>
      <c r="E243" s="104"/>
      <c r="F243" s="104"/>
      <c r="G243" s="104"/>
      <c r="H243" s="104"/>
    </row>
    <row r="244" spans="1:8">
      <c r="B244" s="104"/>
      <c r="C244" s="104"/>
      <c r="D244" s="104"/>
      <c r="E244" s="104"/>
      <c r="F244" s="104"/>
      <c r="G244" s="104"/>
      <c r="H244" s="104"/>
    </row>
    <row r="245" spans="1:8">
      <c r="B245" s="104"/>
      <c r="C245" s="104"/>
      <c r="D245" s="104"/>
      <c r="E245" s="104"/>
      <c r="F245" s="104"/>
      <c r="G245" s="104"/>
      <c r="H245" s="104"/>
    </row>
    <row r="246" spans="1:8">
      <c r="B246" s="104"/>
      <c r="C246" s="104"/>
      <c r="D246" s="104"/>
      <c r="E246" s="104"/>
      <c r="F246" s="104"/>
      <c r="G246" s="104"/>
      <c r="H246" s="104"/>
    </row>
    <row r="247" spans="1:8">
      <c r="B247" s="104"/>
      <c r="C247" s="104"/>
      <c r="D247" s="104"/>
      <c r="E247" s="104"/>
      <c r="F247" s="104"/>
      <c r="G247" s="104"/>
      <c r="H247" s="104"/>
    </row>
    <row r="248" spans="1:8">
      <c r="B248" s="104"/>
      <c r="C248" s="104"/>
      <c r="D248" s="104"/>
      <c r="E248" s="104"/>
      <c r="F248" s="104"/>
      <c r="G248" s="104"/>
      <c r="H248" s="104"/>
    </row>
    <row r="249" spans="1:8">
      <c r="A249" s="105"/>
      <c r="B249" s="104"/>
      <c r="C249" s="104"/>
      <c r="D249" s="104"/>
      <c r="E249" s="104"/>
      <c r="F249" s="104"/>
      <c r="G249" s="104"/>
      <c r="H249" s="104"/>
    </row>
    <row r="250" spans="1:8">
      <c r="B250" s="104"/>
      <c r="C250" s="104"/>
      <c r="D250" s="104"/>
      <c r="E250" s="104"/>
      <c r="F250" s="104"/>
      <c r="G250" s="104"/>
      <c r="H250" s="104"/>
    </row>
    <row r="251" spans="1:8">
      <c r="B251" s="104"/>
      <c r="C251" s="104"/>
      <c r="D251" s="104"/>
      <c r="E251" s="104"/>
      <c r="F251" s="104"/>
      <c r="G251" s="104"/>
      <c r="H251" s="104"/>
    </row>
    <row r="252" spans="1:8">
      <c r="B252" s="104"/>
      <c r="C252" s="104"/>
      <c r="D252" s="104"/>
      <c r="E252" s="104"/>
      <c r="F252" s="104"/>
      <c r="G252" s="104"/>
      <c r="H252" s="104"/>
    </row>
    <row r="253" spans="1:8">
      <c r="B253" s="104"/>
      <c r="C253" s="104"/>
      <c r="D253" s="104"/>
      <c r="E253" s="104"/>
      <c r="F253" s="104"/>
      <c r="G253" s="104"/>
      <c r="H253" s="104"/>
    </row>
    <row r="254" spans="1:8">
      <c r="B254" s="104"/>
      <c r="C254" s="104"/>
      <c r="D254" s="104"/>
      <c r="E254" s="104"/>
      <c r="F254" s="104"/>
      <c r="G254" s="104"/>
      <c r="H254" s="104"/>
    </row>
    <row r="255" spans="1:8">
      <c r="B255" s="104"/>
      <c r="C255" s="104"/>
      <c r="D255" s="104"/>
      <c r="E255" s="104"/>
      <c r="F255" s="104"/>
      <c r="G255" s="104"/>
      <c r="H255" s="104"/>
    </row>
    <row r="256" spans="1:8">
      <c r="B256" s="104"/>
      <c r="C256" s="104"/>
      <c r="D256" s="104"/>
      <c r="E256" s="104"/>
      <c r="F256" s="104"/>
      <c r="G256" s="104"/>
      <c r="H256" s="104"/>
    </row>
    <row r="257" spans="1:8">
      <c r="B257" s="104"/>
      <c r="C257" s="104"/>
      <c r="D257" s="104"/>
      <c r="E257" s="104"/>
      <c r="F257" s="104"/>
      <c r="G257" s="104"/>
      <c r="H257" s="104"/>
    </row>
    <row r="258" spans="1:8">
      <c r="B258" s="104"/>
      <c r="C258" s="104"/>
      <c r="D258" s="104"/>
      <c r="E258" s="104"/>
      <c r="F258" s="104"/>
      <c r="G258" s="104"/>
      <c r="H258" s="104"/>
    </row>
    <row r="259" spans="1:8">
      <c r="B259" s="104"/>
      <c r="C259" s="104"/>
      <c r="D259" s="104"/>
      <c r="E259" s="104"/>
      <c r="F259" s="104"/>
      <c r="G259" s="104"/>
      <c r="H259" s="104"/>
    </row>
    <row r="260" spans="1:8">
      <c r="B260" s="104"/>
      <c r="C260" s="104"/>
      <c r="D260" s="104"/>
      <c r="E260" s="104"/>
      <c r="F260" s="104"/>
      <c r="G260" s="104"/>
      <c r="H260" s="104"/>
    </row>
    <row r="261" spans="1:8">
      <c r="B261" s="104"/>
      <c r="C261" s="104"/>
      <c r="D261" s="104"/>
      <c r="E261" s="104"/>
      <c r="F261" s="104"/>
      <c r="G261" s="104"/>
      <c r="H261" s="104"/>
    </row>
    <row r="262" spans="1:8">
      <c r="B262" s="104"/>
      <c r="C262" s="104"/>
      <c r="D262" s="104"/>
      <c r="E262" s="104"/>
      <c r="F262" s="104"/>
      <c r="G262" s="104"/>
      <c r="H262" s="104"/>
    </row>
    <row r="263" spans="1:8">
      <c r="B263" s="104"/>
      <c r="C263" s="104"/>
      <c r="D263" s="104"/>
      <c r="E263" s="104"/>
      <c r="F263" s="104"/>
      <c r="G263" s="104"/>
      <c r="H263" s="104"/>
    </row>
    <row r="264" spans="1:8">
      <c r="A264" s="62"/>
      <c r="B264" s="104"/>
      <c r="C264" s="104"/>
      <c r="D264" s="104"/>
      <c r="E264" s="104"/>
      <c r="F264" s="104"/>
      <c r="G264" s="104"/>
      <c r="H264" s="104"/>
    </row>
    <row r="265" spans="1:8">
      <c r="A265" s="62"/>
      <c r="B265" s="104"/>
      <c r="C265" s="104"/>
      <c r="D265" s="104"/>
      <c r="E265" s="104"/>
      <c r="F265" s="104"/>
      <c r="G265" s="104"/>
      <c r="H265" s="104"/>
    </row>
    <row r="266" spans="1:8">
      <c r="A266" s="62"/>
      <c r="B266" s="104"/>
      <c r="C266" s="104"/>
      <c r="D266" s="104"/>
      <c r="E266" s="104"/>
      <c r="F266" s="104"/>
      <c r="G266" s="104"/>
      <c r="H266" s="104"/>
    </row>
    <row r="267" spans="1:8">
      <c r="A267" s="62"/>
      <c r="B267" s="104"/>
      <c r="C267" s="104"/>
      <c r="D267" s="104"/>
      <c r="E267" s="104"/>
      <c r="F267" s="104"/>
      <c r="G267" s="104"/>
      <c r="H267" s="104"/>
    </row>
    <row r="268" spans="1:8">
      <c r="A268" s="62"/>
      <c r="B268" s="104"/>
      <c r="C268" s="104"/>
      <c r="D268" s="104"/>
      <c r="E268" s="104"/>
      <c r="F268" s="104"/>
      <c r="G268" s="104"/>
      <c r="H268" s="104"/>
    </row>
    <row r="269" spans="1:8">
      <c r="A269" s="62"/>
      <c r="B269" s="104"/>
      <c r="C269" s="104"/>
      <c r="D269" s="104"/>
      <c r="E269" s="104"/>
      <c r="F269" s="104"/>
      <c r="G269" s="104"/>
      <c r="H269" s="104"/>
    </row>
    <row r="270" spans="1:8">
      <c r="A270" s="62"/>
      <c r="B270" s="104"/>
      <c r="C270" s="104"/>
      <c r="D270" s="104"/>
      <c r="E270" s="104"/>
      <c r="F270" s="104"/>
      <c r="G270" s="104"/>
      <c r="H270" s="104"/>
    </row>
    <row r="271" spans="1:8">
      <c r="A271" s="62"/>
      <c r="B271" s="104"/>
      <c r="C271" s="104"/>
      <c r="D271" s="104"/>
      <c r="E271" s="104"/>
      <c r="F271" s="104"/>
      <c r="G271" s="104"/>
      <c r="H271" s="104"/>
    </row>
    <row r="272" spans="1:8">
      <c r="A272" s="62"/>
      <c r="B272" s="104"/>
      <c r="C272" s="104"/>
      <c r="D272" s="104"/>
      <c r="E272" s="104"/>
      <c r="F272" s="104"/>
      <c r="G272" s="104"/>
      <c r="H272" s="104"/>
    </row>
    <row r="273" spans="1:8">
      <c r="A273" s="62"/>
      <c r="B273" s="104"/>
      <c r="C273" s="104"/>
      <c r="D273" s="104"/>
      <c r="E273" s="104"/>
      <c r="F273" s="104"/>
      <c r="G273" s="104"/>
      <c r="H273" s="104"/>
    </row>
    <row r="274" spans="1:8">
      <c r="A274" s="62"/>
      <c r="B274" s="104"/>
      <c r="C274" s="104"/>
      <c r="D274" s="104"/>
      <c r="E274" s="104"/>
      <c r="F274" s="104"/>
      <c r="G274" s="104"/>
      <c r="H274" s="104"/>
    </row>
    <row r="275" spans="1:8">
      <c r="A275" s="62"/>
      <c r="B275" s="104"/>
      <c r="C275" s="104"/>
      <c r="D275" s="104"/>
      <c r="E275" s="104"/>
      <c r="F275" s="104"/>
      <c r="G275" s="104"/>
      <c r="H275" s="104"/>
    </row>
    <row r="276" spans="1:8">
      <c r="A276" s="62"/>
      <c r="B276" s="104"/>
      <c r="C276" s="104"/>
      <c r="D276" s="104"/>
      <c r="E276" s="104"/>
      <c r="F276" s="104"/>
      <c r="G276" s="104"/>
      <c r="H276" s="104"/>
    </row>
    <row r="277" spans="1:8">
      <c r="A277" s="62"/>
      <c r="B277" s="104"/>
      <c r="C277" s="104"/>
      <c r="D277" s="104"/>
      <c r="E277" s="104"/>
      <c r="F277" s="104"/>
      <c r="G277" s="104"/>
      <c r="H277" s="104"/>
    </row>
    <row r="278" spans="1:8">
      <c r="A278" s="62"/>
      <c r="B278" s="104"/>
      <c r="C278" s="104"/>
      <c r="D278" s="104"/>
      <c r="E278" s="104"/>
      <c r="F278" s="104"/>
      <c r="G278" s="104"/>
      <c r="H278" s="104"/>
    </row>
    <row r="279" spans="1:8">
      <c r="A279" s="62"/>
      <c r="B279" s="104"/>
      <c r="C279" s="104"/>
      <c r="D279" s="104"/>
      <c r="E279" s="104"/>
      <c r="F279" s="104"/>
      <c r="G279" s="104"/>
      <c r="H279" s="104"/>
    </row>
    <row r="280" spans="1:8">
      <c r="A280" s="62"/>
      <c r="B280" s="104"/>
      <c r="C280" s="104"/>
      <c r="D280" s="104"/>
      <c r="E280" s="104"/>
      <c r="F280" s="104"/>
      <c r="G280" s="104"/>
      <c r="H280" s="104"/>
    </row>
    <row r="281" spans="1:8">
      <c r="A281" s="62"/>
      <c r="B281" s="104"/>
      <c r="C281" s="104"/>
      <c r="D281" s="104"/>
      <c r="E281" s="104"/>
      <c r="F281" s="104"/>
      <c r="G281" s="104"/>
      <c r="H281" s="104"/>
    </row>
    <row r="282" spans="1:8">
      <c r="A282" s="62"/>
      <c r="B282" s="104"/>
      <c r="C282" s="104"/>
      <c r="D282" s="104"/>
      <c r="E282" s="104"/>
      <c r="F282" s="104"/>
      <c r="G282" s="104"/>
      <c r="H282" s="104"/>
    </row>
    <row r="283" spans="1:8">
      <c r="A283" s="62"/>
      <c r="B283" s="104"/>
      <c r="C283" s="104"/>
      <c r="D283" s="104"/>
      <c r="E283" s="104"/>
      <c r="F283" s="104"/>
      <c r="G283" s="104"/>
      <c r="H283" s="104"/>
    </row>
    <row r="284" spans="1:8">
      <c r="A284" s="62"/>
      <c r="B284" s="104"/>
      <c r="C284" s="104"/>
      <c r="D284" s="104"/>
      <c r="E284" s="104"/>
      <c r="F284" s="104"/>
      <c r="G284" s="104"/>
      <c r="H284" s="104"/>
    </row>
    <row r="285" spans="1:8">
      <c r="A285" s="62"/>
      <c r="B285" s="104"/>
      <c r="C285" s="104"/>
      <c r="D285" s="104"/>
      <c r="E285" s="104"/>
      <c r="F285" s="104"/>
      <c r="G285" s="104"/>
      <c r="H285" s="104"/>
    </row>
    <row r="286" spans="1:8">
      <c r="A286" s="62"/>
      <c r="B286" s="104"/>
      <c r="C286" s="104"/>
      <c r="D286" s="104"/>
      <c r="E286" s="104"/>
      <c r="F286" s="104"/>
      <c r="G286" s="104"/>
      <c r="H286" s="104"/>
    </row>
    <row r="287" spans="1:8">
      <c r="A287" s="62"/>
      <c r="B287" s="104"/>
      <c r="C287" s="104"/>
      <c r="D287" s="104"/>
      <c r="E287" s="104"/>
      <c r="F287" s="104"/>
      <c r="G287" s="104"/>
      <c r="H287" s="104"/>
    </row>
    <row r="288" spans="1:8">
      <c r="A288" s="62"/>
      <c r="B288" s="104"/>
      <c r="C288" s="104"/>
      <c r="D288" s="104"/>
      <c r="E288" s="104"/>
      <c r="F288" s="104"/>
      <c r="G288" s="104"/>
      <c r="H288" s="104"/>
    </row>
    <row r="289" spans="1:8">
      <c r="A289" s="62"/>
      <c r="B289" s="104"/>
      <c r="C289" s="104"/>
      <c r="D289" s="104"/>
      <c r="E289" s="104"/>
      <c r="F289" s="104"/>
      <c r="G289" s="104"/>
      <c r="H289" s="104"/>
    </row>
    <row r="290" spans="1:8">
      <c r="A290" s="62"/>
      <c r="B290" s="104"/>
      <c r="C290" s="104"/>
      <c r="D290" s="104"/>
      <c r="E290" s="104"/>
      <c r="F290" s="104"/>
      <c r="G290" s="104"/>
      <c r="H290" s="104"/>
    </row>
    <row r="291" spans="1:8">
      <c r="A291" s="62"/>
      <c r="B291" s="104"/>
      <c r="C291" s="104"/>
      <c r="D291" s="104"/>
      <c r="E291" s="104"/>
      <c r="F291" s="104"/>
      <c r="G291" s="104"/>
      <c r="H291" s="104"/>
    </row>
    <row r="292" spans="1:8">
      <c r="A292" s="62"/>
      <c r="B292" s="104"/>
      <c r="C292" s="104"/>
      <c r="D292" s="104"/>
      <c r="E292" s="104"/>
      <c r="F292" s="104"/>
      <c r="G292" s="104"/>
      <c r="H292" s="104"/>
    </row>
    <row r="293" spans="1:8">
      <c r="A293" s="62"/>
      <c r="B293" s="104"/>
      <c r="C293" s="104"/>
      <c r="D293" s="104"/>
      <c r="E293" s="104"/>
      <c r="F293" s="104"/>
      <c r="G293" s="104"/>
      <c r="H293" s="104"/>
    </row>
    <row r="294" spans="1:8">
      <c r="A294" s="62"/>
      <c r="B294" s="104"/>
      <c r="C294" s="104"/>
      <c r="D294" s="104"/>
      <c r="E294" s="104"/>
      <c r="F294" s="104"/>
      <c r="G294" s="104"/>
      <c r="H294" s="104"/>
    </row>
    <row r="295" spans="1:8">
      <c r="A295" s="62"/>
      <c r="B295" s="104"/>
      <c r="C295" s="104"/>
      <c r="D295" s="104"/>
      <c r="E295" s="104"/>
      <c r="F295" s="104"/>
      <c r="G295" s="104"/>
      <c r="H295" s="104"/>
    </row>
    <row r="296" spans="1:8">
      <c r="A296" s="62"/>
      <c r="B296" s="104"/>
      <c r="C296" s="104"/>
      <c r="D296" s="104"/>
      <c r="E296" s="104"/>
      <c r="F296" s="104"/>
      <c r="G296" s="104"/>
      <c r="H296" s="104"/>
    </row>
    <row r="297" spans="1:8">
      <c r="A297" s="62"/>
      <c r="B297" s="104"/>
      <c r="C297" s="104"/>
      <c r="D297" s="104"/>
      <c r="E297" s="104"/>
      <c r="F297" s="104"/>
      <c r="G297" s="104"/>
      <c r="H297" s="104"/>
    </row>
    <row r="298" spans="1:8">
      <c r="A298" s="62"/>
      <c r="B298" s="104"/>
      <c r="C298" s="104"/>
      <c r="D298" s="104"/>
      <c r="E298" s="104"/>
      <c r="F298" s="104"/>
      <c r="G298" s="104"/>
      <c r="H298" s="104"/>
    </row>
    <row r="299" spans="1:8">
      <c r="A299" s="62"/>
      <c r="B299" s="104"/>
      <c r="C299" s="104"/>
      <c r="D299" s="104"/>
      <c r="E299" s="104"/>
      <c r="F299" s="104"/>
      <c r="G299" s="104"/>
      <c r="H299" s="104"/>
    </row>
    <row r="300" spans="1:8">
      <c r="A300" s="62"/>
      <c r="B300" s="104"/>
      <c r="C300" s="104"/>
      <c r="D300" s="104"/>
      <c r="E300" s="104"/>
      <c r="F300" s="104"/>
      <c r="G300" s="104"/>
      <c r="H300" s="104"/>
    </row>
    <row r="301" spans="1:8">
      <c r="A301" s="62"/>
      <c r="B301" s="104"/>
      <c r="C301" s="104"/>
      <c r="D301" s="104"/>
      <c r="E301" s="104"/>
      <c r="F301" s="104"/>
      <c r="G301" s="104"/>
      <c r="H301" s="104"/>
    </row>
    <row r="302" spans="1:8">
      <c r="A302" s="62"/>
      <c r="B302" s="104"/>
      <c r="C302" s="104"/>
      <c r="D302" s="104"/>
      <c r="E302" s="104"/>
      <c r="F302" s="104"/>
      <c r="G302" s="104"/>
      <c r="H302" s="104"/>
    </row>
    <row r="303" spans="1:8">
      <c r="A303" s="62"/>
      <c r="B303" s="104"/>
      <c r="C303" s="104"/>
      <c r="D303" s="104"/>
      <c r="E303" s="104"/>
      <c r="F303" s="104"/>
      <c r="G303" s="104"/>
      <c r="H303" s="104"/>
    </row>
    <row r="304" spans="1:8">
      <c r="A304" s="62"/>
      <c r="B304" s="104"/>
      <c r="C304" s="104"/>
      <c r="D304" s="104"/>
      <c r="E304" s="104"/>
      <c r="F304" s="104"/>
      <c r="G304" s="104"/>
      <c r="H304" s="104"/>
    </row>
    <row r="305" spans="1:8">
      <c r="A305" s="62"/>
      <c r="B305" s="104"/>
      <c r="C305" s="104"/>
      <c r="D305" s="104"/>
      <c r="E305" s="104"/>
      <c r="F305" s="104"/>
      <c r="G305" s="104"/>
      <c r="H305" s="104"/>
    </row>
    <row r="306" spans="1:8">
      <c r="A306" s="62"/>
      <c r="B306" s="104"/>
      <c r="C306" s="104"/>
      <c r="D306" s="104"/>
      <c r="E306" s="104"/>
      <c r="F306" s="104"/>
      <c r="G306" s="104"/>
      <c r="H306" s="104"/>
    </row>
    <row r="307" spans="1:8">
      <c r="A307" s="62"/>
      <c r="B307" s="104"/>
      <c r="C307" s="104"/>
      <c r="D307" s="104"/>
      <c r="E307" s="104"/>
      <c r="F307" s="104"/>
      <c r="G307" s="104"/>
      <c r="H307" s="104"/>
    </row>
    <row r="308" spans="1:8">
      <c r="A308" s="62"/>
      <c r="B308" s="104"/>
      <c r="C308" s="104"/>
      <c r="D308" s="104"/>
      <c r="E308" s="104"/>
      <c r="F308" s="104"/>
      <c r="G308" s="104"/>
      <c r="H308" s="104"/>
    </row>
    <row r="309" spans="1:8">
      <c r="A309" s="62"/>
      <c r="B309" s="104"/>
      <c r="C309" s="104"/>
      <c r="D309" s="104"/>
      <c r="E309" s="104"/>
      <c r="F309" s="104"/>
      <c r="G309" s="104"/>
      <c r="H309" s="104"/>
    </row>
    <row r="310" spans="1:8">
      <c r="A310" s="62"/>
      <c r="B310" s="104"/>
      <c r="C310" s="104"/>
      <c r="D310" s="104"/>
      <c r="E310" s="104"/>
      <c r="F310" s="104"/>
      <c r="G310" s="104"/>
      <c r="H310" s="104"/>
    </row>
    <row r="311" spans="1:8">
      <c r="A311" s="62"/>
      <c r="B311" s="104"/>
      <c r="C311" s="104"/>
      <c r="D311" s="104"/>
      <c r="E311" s="104"/>
      <c r="F311" s="104"/>
      <c r="G311" s="104"/>
      <c r="H311" s="104"/>
    </row>
    <row r="312" spans="1:8">
      <c r="A312" s="62"/>
      <c r="B312" s="104"/>
      <c r="C312" s="104"/>
      <c r="D312" s="104"/>
      <c r="E312" s="104"/>
      <c r="F312" s="104"/>
      <c r="G312" s="104"/>
      <c r="H312" s="104"/>
    </row>
    <row r="313" spans="1:8">
      <c r="A313" s="62"/>
      <c r="B313" s="104"/>
      <c r="C313" s="104"/>
      <c r="D313" s="104"/>
      <c r="E313" s="104"/>
      <c r="F313" s="104"/>
      <c r="G313" s="104"/>
      <c r="H313" s="104"/>
    </row>
    <row r="314" spans="1:8">
      <c r="A314" s="62"/>
      <c r="B314" s="104"/>
      <c r="C314" s="104"/>
      <c r="D314" s="104"/>
      <c r="E314" s="104"/>
      <c r="F314" s="104"/>
      <c r="G314" s="104"/>
      <c r="H314" s="104"/>
    </row>
    <row r="315" spans="1:8">
      <c r="A315" s="62"/>
      <c r="B315" s="104"/>
      <c r="C315" s="104"/>
      <c r="D315" s="104"/>
      <c r="E315" s="104"/>
      <c r="F315" s="104"/>
      <c r="G315" s="104"/>
      <c r="H315" s="104"/>
    </row>
    <row r="316" spans="1:8">
      <c r="A316" s="62"/>
      <c r="B316" s="104"/>
      <c r="C316" s="104"/>
      <c r="D316" s="104"/>
      <c r="E316" s="104"/>
      <c r="F316" s="104"/>
      <c r="G316" s="104"/>
      <c r="H316" s="104"/>
    </row>
    <row r="317" spans="1:8">
      <c r="A317" s="62"/>
      <c r="B317" s="104"/>
      <c r="C317" s="104"/>
      <c r="D317" s="104"/>
      <c r="E317" s="104"/>
      <c r="F317" s="104"/>
      <c r="G317" s="104"/>
      <c r="H317" s="104"/>
    </row>
    <row r="318" spans="1:8">
      <c r="A318" s="62"/>
      <c r="B318" s="104"/>
      <c r="C318" s="104"/>
      <c r="D318" s="104"/>
      <c r="E318" s="104"/>
      <c r="F318" s="104"/>
      <c r="G318" s="104"/>
      <c r="H318" s="104"/>
    </row>
    <row r="319" spans="1:8">
      <c r="A319" s="62"/>
      <c r="B319" s="104"/>
      <c r="C319" s="104"/>
      <c r="D319" s="104"/>
      <c r="E319" s="104"/>
      <c r="F319" s="104"/>
      <c r="G319" s="104"/>
      <c r="H319" s="104"/>
    </row>
    <row r="320" spans="1:8">
      <c r="A320" s="62"/>
      <c r="B320" s="104"/>
      <c r="C320" s="104"/>
      <c r="D320" s="104"/>
      <c r="E320" s="104"/>
      <c r="F320" s="104"/>
      <c r="G320" s="104"/>
      <c r="H320" s="104"/>
    </row>
    <row r="321" spans="1:8">
      <c r="A321" s="62"/>
      <c r="B321" s="104"/>
      <c r="C321" s="104"/>
      <c r="D321" s="104"/>
      <c r="E321" s="104"/>
      <c r="F321" s="104"/>
      <c r="G321" s="104"/>
      <c r="H321" s="104"/>
    </row>
    <row r="322" spans="1:8">
      <c r="A322" s="62"/>
      <c r="B322" s="104"/>
      <c r="C322" s="104"/>
      <c r="D322" s="104"/>
      <c r="E322" s="104"/>
      <c r="F322" s="104"/>
      <c r="G322" s="104"/>
      <c r="H322" s="104"/>
    </row>
    <row r="323" spans="1:8">
      <c r="A323" s="62"/>
      <c r="B323" s="104"/>
      <c r="C323" s="104"/>
      <c r="D323" s="104"/>
      <c r="E323" s="104"/>
      <c r="F323" s="104"/>
      <c r="G323" s="104"/>
      <c r="H323" s="104"/>
    </row>
    <row r="324" spans="1:8">
      <c r="A324" s="62"/>
      <c r="B324" s="104"/>
      <c r="C324" s="104"/>
      <c r="D324" s="104"/>
      <c r="E324" s="104"/>
      <c r="F324" s="104"/>
      <c r="G324" s="104"/>
      <c r="H324" s="104"/>
    </row>
    <row r="325" spans="1:8">
      <c r="A325" s="62"/>
      <c r="B325" s="104"/>
      <c r="C325" s="104"/>
      <c r="D325" s="104"/>
      <c r="E325" s="104"/>
      <c r="F325" s="104"/>
      <c r="G325" s="104"/>
      <c r="H325" s="104"/>
    </row>
    <row r="326" spans="1:8">
      <c r="A326" s="62"/>
      <c r="B326" s="104"/>
      <c r="C326" s="104"/>
      <c r="D326" s="104"/>
      <c r="E326" s="104"/>
      <c r="F326" s="104"/>
      <c r="G326" s="104"/>
      <c r="H326" s="104"/>
    </row>
    <row r="327" spans="1:8">
      <c r="A327" s="62"/>
      <c r="B327" s="104"/>
      <c r="C327" s="104"/>
      <c r="D327" s="104"/>
      <c r="E327" s="104"/>
      <c r="F327" s="104"/>
      <c r="G327" s="104"/>
      <c r="H327" s="104"/>
    </row>
    <row r="328" spans="1:8">
      <c r="A328" s="62"/>
      <c r="B328" s="104"/>
      <c r="C328" s="104"/>
      <c r="D328" s="104"/>
      <c r="E328" s="104"/>
      <c r="F328" s="104"/>
      <c r="G328" s="104"/>
      <c r="H328" s="104"/>
    </row>
    <row r="329" spans="1:8">
      <c r="A329" s="62"/>
      <c r="B329" s="104"/>
      <c r="C329" s="104"/>
      <c r="D329" s="104"/>
      <c r="E329" s="104"/>
      <c r="F329" s="104"/>
      <c r="G329" s="104"/>
      <c r="H329" s="104"/>
    </row>
    <row r="330" spans="1:8">
      <c r="A330" s="62"/>
      <c r="B330" s="104"/>
      <c r="C330" s="104"/>
      <c r="D330" s="104"/>
      <c r="E330" s="104"/>
      <c r="F330" s="104"/>
      <c r="G330" s="104"/>
      <c r="H330" s="104"/>
    </row>
    <row r="331" spans="1:8">
      <c r="A331" s="62"/>
      <c r="B331" s="104"/>
      <c r="C331" s="104"/>
      <c r="D331" s="104"/>
      <c r="E331" s="104"/>
      <c r="F331" s="104"/>
      <c r="G331" s="104"/>
      <c r="H331" s="104"/>
    </row>
    <row r="332" spans="1:8">
      <c r="A332" s="62"/>
      <c r="B332" s="104"/>
      <c r="C332" s="104"/>
      <c r="D332" s="104"/>
      <c r="E332" s="104"/>
      <c r="F332" s="104"/>
      <c r="G332" s="104"/>
      <c r="H332" s="104"/>
    </row>
    <row r="333" spans="1:8">
      <c r="A333" s="62"/>
      <c r="B333" s="104"/>
      <c r="C333" s="104"/>
      <c r="D333" s="104"/>
      <c r="E333" s="104"/>
      <c r="F333" s="104"/>
      <c r="G333" s="104"/>
      <c r="H333" s="104"/>
    </row>
    <row r="334" spans="1:8">
      <c r="A334" s="62"/>
      <c r="B334" s="104"/>
      <c r="C334" s="104"/>
      <c r="D334" s="104"/>
      <c r="E334" s="104"/>
      <c r="F334" s="104"/>
      <c r="G334" s="104"/>
      <c r="H334" s="104"/>
    </row>
    <row r="335" spans="1:8">
      <c r="A335" s="62"/>
      <c r="B335" s="104"/>
      <c r="C335" s="104"/>
      <c r="D335" s="104"/>
      <c r="E335" s="104"/>
      <c r="F335" s="104"/>
      <c r="G335" s="104"/>
      <c r="H335" s="104"/>
    </row>
    <row r="336" spans="1:8">
      <c r="A336" s="62"/>
      <c r="B336" s="104"/>
      <c r="C336" s="104"/>
      <c r="D336" s="104"/>
      <c r="E336" s="104"/>
      <c r="F336" s="104"/>
      <c r="G336" s="104"/>
      <c r="H336" s="104"/>
    </row>
    <row r="337" spans="1:8">
      <c r="A337" s="62"/>
      <c r="B337" s="104"/>
      <c r="C337" s="104"/>
      <c r="D337" s="104"/>
      <c r="E337" s="104"/>
      <c r="F337" s="104"/>
      <c r="G337" s="104"/>
      <c r="H337" s="104"/>
    </row>
    <row r="338" spans="1:8">
      <c r="A338" s="62"/>
      <c r="B338" s="104"/>
      <c r="C338" s="104"/>
      <c r="D338" s="104"/>
      <c r="E338" s="104"/>
      <c r="F338" s="104"/>
      <c r="G338" s="104"/>
      <c r="H338" s="104"/>
    </row>
    <row r="339" spans="1:8">
      <c r="A339" s="62"/>
      <c r="B339" s="104"/>
      <c r="C339" s="104"/>
      <c r="D339" s="104"/>
      <c r="E339" s="104"/>
      <c r="F339" s="104"/>
      <c r="G339" s="104"/>
      <c r="H339" s="104"/>
    </row>
    <row r="340" spans="1:8">
      <c r="A340" s="62"/>
      <c r="B340" s="104"/>
      <c r="C340" s="104"/>
      <c r="D340" s="104"/>
      <c r="E340" s="104"/>
      <c r="F340" s="104"/>
      <c r="G340" s="104"/>
      <c r="H340" s="104"/>
    </row>
    <row r="341" spans="1:8">
      <c r="A341" s="62"/>
      <c r="B341" s="104"/>
      <c r="C341" s="104"/>
      <c r="D341" s="104"/>
      <c r="E341" s="104"/>
      <c r="F341" s="104"/>
      <c r="G341" s="104"/>
      <c r="H341" s="104"/>
    </row>
    <row r="342" spans="1:8">
      <c r="A342" s="62"/>
      <c r="B342" s="104"/>
      <c r="C342" s="104"/>
      <c r="D342" s="104"/>
      <c r="E342" s="104"/>
      <c r="F342" s="104"/>
      <c r="G342" s="104"/>
      <c r="H342" s="104"/>
    </row>
    <row r="343" spans="1:8">
      <c r="A343" s="62"/>
      <c r="B343" s="104"/>
      <c r="C343" s="104"/>
      <c r="D343" s="104"/>
      <c r="E343" s="104"/>
      <c r="F343" s="104"/>
      <c r="G343" s="104"/>
      <c r="H343" s="104"/>
    </row>
    <row r="344" spans="1:8">
      <c r="A344" s="62"/>
      <c r="B344" s="104"/>
      <c r="C344" s="104"/>
      <c r="D344" s="104"/>
      <c r="E344" s="104"/>
      <c r="F344" s="104"/>
      <c r="G344" s="104"/>
      <c r="H344" s="104"/>
    </row>
    <row r="345" spans="1:8">
      <c r="A345" s="62"/>
      <c r="B345" s="104"/>
      <c r="C345" s="104"/>
      <c r="D345" s="104"/>
      <c r="E345" s="104"/>
      <c r="F345" s="104"/>
      <c r="G345" s="104"/>
      <c r="H345" s="104"/>
    </row>
    <row r="346" spans="1:8">
      <c r="A346" s="62"/>
      <c r="B346" s="104"/>
      <c r="C346" s="104"/>
      <c r="D346" s="104"/>
      <c r="E346" s="104"/>
      <c r="F346" s="104"/>
      <c r="G346" s="104"/>
      <c r="H346" s="104"/>
    </row>
    <row r="347" spans="1:8">
      <c r="A347" s="62"/>
      <c r="B347" s="104"/>
      <c r="C347" s="104"/>
      <c r="D347" s="104"/>
      <c r="E347" s="104"/>
      <c r="F347" s="104"/>
      <c r="G347" s="104"/>
      <c r="H347" s="104"/>
    </row>
    <row r="348" spans="1:8">
      <c r="A348" s="62"/>
      <c r="B348" s="104"/>
      <c r="C348" s="104"/>
      <c r="D348" s="104"/>
      <c r="E348" s="104"/>
      <c r="F348" s="104"/>
      <c r="G348" s="104"/>
      <c r="H348" s="104"/>
    </row>
    <row r="349" spans="1:8">
      <c r="A349" s="62"/>
      <c r="B349" s="104"/>
      <c r="C349" s="104"/>
      <c r="D349" s="104"/>
      <c r="E349" s="104"/>
      <c r="F349" s="104"/>
      <c r="G349" s="104"/>
      <c r="H349" s="104"/>
    </row>
    <row r="350" spans="1:8">
      <c r="A350" s="62"/>
      <c r="B350" s="104"/>
      <c r="C350" s="104"/>
      <c r="D350" s="104"/>
      <c r="E350" s="104"/>
      <c r="F350" s="104"/>
      <c r="G350" s="104"/>
      <c r="H350" s="104"/>
    </row>
    <row r="351" spans="1:8">
      <c r="A351" s="62"/>
      <c r="B351" s="104"/>
      <c r="C351" s="104"/>
      <c r="D351" s="104"/>
      <c r="E351" s="104"/>
      <c r="F351" s="104"/>
      <c r="G351" s="104"/>
      <c r="H351" s="104"/>
    </row>
    <row r="352" spans="1:8">
      <c r="A352" s="62"/>
      <c r="B352" s="104"/>
      <c r="C352" s="104"/>
      <c r="D352" s="104"/>
      <c r="E352" s="104"/>
      <c r="F352" s="104"/>
      <c r="G352" s="104"/>
      <c r="H352" s="104"/>
    </row>
    <row r="353" spans="1:8">
      <c r="A353" s="62"/>
      <c r="B353" s="104"/>
      <c r="C353" s="104"/>
      <c r="D353" s="104"/>
      <c r="E353" s="104"/>
      <c r="F353" s="104"/>
      <c r="G353" s="104"/>
      <c r="H353" s="104"/>
    </row>
    <row r="354" spans="1:8">
      <c r="A354" s="62"/>
      <c r="B354" s="104"/>
      <c r="C354" s="104"/>
      <c r="D354" s="104"/>
      <c r="E354" s="104"/>
      <c r="F354" s="104"/>
      <c r="G354" s="104"/>
      <c r="H354" s="104"/>
    </row>
    <row r="355" spans="1:8">
      <c r="A355" s="62"/>
      <c r="B355" s="104"/>
      <c r="C355" s="104"/>
      <c r="D355" s="104"/>
      <c r="E355" s="104"/>
      <c r="F355" s="104"/>
      <c r="G355" s="104"/>
      <c r="H355" s="104"/>
    </row>
    <row r="356" spans="1:8">
      <c r="A356" s="62"/>
      <c r="B356" s="104"/>
      <c r="C356" s="104"/>
      <c r="D356" s="104"/>
      <c r="E356" s="104"/>
      <c r="F356" s="104"/>
      <c r="G356" s="104"/>
      <c r="H356" s="104"/>
    </row>
    <row r="357" spans="1:8">
      <c r="A357" s="62"/>
      <c r="B357" s="104"/>
      <c r="C357" s="104"/>
      <c r="D357" s="104"/>
      <c r="E357" s="104"/>
      <c r="F357" s="104"/>
      <c r="G357" s="104"/>
      <c r="H357" s="104"/>
    </row>
    <row r="358" spans="1:8">
      <c r="A358" s="62"/>
      <c r="B358" s="104"/>
      <c r="C358" s="104"/>
      <c r="D358" s="104"/>
      <c r="E358" s="104"/>
      <c r="F358" s="104"/>
      <c r="G358" s="104"/>
      <c r="H358" s="104"/>
    </row>
    <row r="359" spans="1:8">
      <c r="A359" s="62"/>
      <c r="B359" s="104"/>
      <c r="C359" s="104"/>
      <c r="D359" s="104"/>
      <c r="E359" s="104"/>
      <c r="F359" s="104"/>
      <c r="G359" s="104"/>
      <c r="H359" s="104"/>
    </row>
    <row r="360" spans="1:8">
      <c r="A360" s="62"/>
      <c r="B360" s="104"/>
      <c r="C360" s="104"/>
      <c r="D360" s="104"/>
      <c r="E360" s="104"/>
      <c r="F360" s="104"/>
      <c r="G360" s="104"/>
      <c r="H360" s="104"/>
    </row>
    <row r="361" spans="1:8">
      <c r="A361" s="62"/>
      <c r="B361" s="104"/>
      <c r="C361" s="104"/>
      <c r="D361" s="104"/>
      <c r="E361" s="104"/>
      <c r="F361" s="104"/>
      <c r="G361" s="104"/>
      <c r="H361" s="104"/>
    </row>
    <row r="362" spans="1:8">
      <c r="A362" s="62"/>
      <c r="B362" s="104"/>
      <c r="C362" s="104"/>
      <c r="D362" s="104"/>
      <c r="E362" s="104"/>
      <c r="F362" s="104"/>
      <c r="G362" s="104"/>
      <c r="H362" s="104"/>
    </row>
    <row r="363" spans="1:8">
      <c r="A363" s="62"/>
      <c r="B363" s="104"/>
      <c r="C363" s="104"/>
      <c r="D363" s="104"/>
      <c r="E363" s="104"/>
      <c r="F363" s="104"/>
      <c r="G363" s="104"/>
      <c r="H363" s="104"/>
    </row>
    <row r="364" spans="1:8">
      <c r="A364" s="62"/>
      <c r="B364" s="104"/>
      <c r="C364" s="104"/>
      <c r="D364" s="104"/>
      <c r="E364" s="104"/>
      <c r="F364" s="104"/>
      <c r="G364" s="104"/>
      <c r="H364" s="104"/>
    </row>
    <row r="365" spans="1:8">
      <c r="A365" s="62"/>
      <c r="B365" s="104"/>
      <c r="C365" s="104"/>
      <c r="D365" s="104"/>
      <c r="E365" s="104"/>
      <c r="F365" s="104"/>
      <c r="G365" s="104"/>
      <c r="H365" s="104"/>
    </row>
    <row r="366" spans="1:8">
      <c r="A366" s="62"/>
      <c r="B366" s="104"/>
      <c r="C366" s="104"/>
      <c r="D366" s="104"/>
      <c r="E366" s="104"/>
      <c r="F366" s="104"/>
      <c r="G366" s="104"/>
      <c r="H366" s="104"/>
    </row>
    <row r="367" spans="1:8">
      <c r="A367" s="62"/>
      <c r="B367" s="104"/>
      <c r="C367" s="104"/>
      <c r="D367" s="104"/>
      <c r="E367" s="104"/>
      <c r="F367" s="104"/>
      <c r="G367" s="104"/>
      <c r="H367" s="104"/>
    </row>
    <row r="368" spans="1:8">
      <c r="A368" s="62"/>
      <c r="B368" s="104"/>
      <c r="C368" s="104"/>
      <c r="D368" s="104"/>
      <c r="E368" s="104"/>
      <c r="F368" s="104"/>
      <c r="G368" s="104"/>
      <c r="H368" s="104"/>
    </row>
    <row r="369" spans="1:8">
      <c r="A369" s="62"/>
      <c r="B369" s="104"/>
      <c r="C369" s="104"/>
      <c r="D369" s="104"/>
      <c r="E369" s="104"/>
      <c r="F369" s="104"/>
      <c r="G369" s="104"/>
      <c r="H369" s="104"/>
    </row>
    <row r="370" spans="1:8">
      <c r="A370" s="62"/>
      <c r="B370" s="104"/>
      <c r="C370" s="104"/>
      <c r="D370" s="104"/>
      <c r="E370" s="104"/>
      <c r="F370" s="104"/>
      <c r="G370" s="104"/>
      <c r="H370" s="104"/>
    </row>
    <row r="371" spans="1:8">
      <c r="A371" s="62"/>
      <c r="B371" s="104"/>
      <c r="C371" s="104"/>
      <c r="D371" s="104"/>
      <c r="E371" s="104"/>
      <c r="F371" s="104"/>
      <c r="G371" s="104"/>
      <c r="H371" s="104"/>
    </row>
    <row r="372" spans="1:8">
      <c r="A372" s="62"/>
      <c r="B372" s="104"/>
      <c r="C372" s="104"/>
      <c r="D372" s="104"/>
      <c r="E372" s="104"/>
      <c r="F372" s="104"/>
      <c r="G372" s="104"/>
      <c r="H372" s="104"/>
    </row>
    <row r="373" spans="1:8">
      <c r="A373" s="62"/>
      <c r="B373" s="104"/>
      <c r="C373" s="104"/>
      <c r="D373" s="104"/>
      <c r="E373" s="104"/>
      <c r="F373" s="104"/>
      <c r="G373" s="104"/>
      <c r="H373" s="104"/>
    </row>
    <row r="374" spans="1:8">
      <c r="A374" s="62"/>
      <c r="B374" s="104"/>
      <c r="C374" s="104"/>
      <c r="D374" s="104"/>
      <c r="E374" s="104"/>
      <c r="F374" s="104"/>
      <c r="G374" s="104"/>
      <c r="H374" s="104"/>
    </row>
    <row r="375" spans="1:8">
      <c r="A375" s="62"/>
      <c r="B375" s="104"/>
      <c r="C375" s="104"/>
      <c r="D375" s="104"/>
      <c r="E375" s="104"/>
      <c r="F375" s="104"/>
      <c r="G375" s="104"/>
      <c r="H375" s="104"/>
    </row>
    <row r="376" spans="1:8">
      <c r="A376" s="62"/>
      <c r="B376" s="104"/>
      <c r="C376" s="104"/>
      <c r="D376" s="104"/>
      <c r="E376" s="104"/>
      <c r="F376" s="104"/>
      <c r="G376" s="104"/>
      <c r="H376" s="104"/>
    </row>
    <row r="377" spans="1:8">
      <c r="A377" s="62"/>
      <c r="B377" s="104"/>
      <c r="C377" s="104"/>
      <c r="D377" s="104"/>
      <c r="E377" s="104"/>
      <c r="F377" s="104"/>
      <c r="G377" s="104"/>
      <c r="H377" s="104"/>
    </row>
    <row r="378" spans="1:8">
      <c r="A378" s="62"/>
      <c r="B378" s="104"/>
      <c r="C378" s="104"/>
      <c r="D378" s="104"/>
      <c r="E378" s="104"/>
      <c r="F378" s="104"/>
      <c r="G378" s="104"/>
      <c r="H378" s="104"/>
    </row>
    <row r="379" spans="1:8">
      <c r="A379" s="62"/>
      <c r="B379" s="104"/>
      <c r="C379" s="104"/>
      <c r="D379" s="104"/>
      <c r="E379" s="104"/>
      <c r="F379" s="104"/>
      <c r="G379" s="104"/>
      <c r="H379" s="104"/>
    </row>
    <row r="380" spans="1:8">
      <c r="A380" s="62"/>
      <c r="B380" s="104"/>
      <c r="C380" s="104"/>
      <c r="D380" s="104"/>
      <c r="E380" s="104"/>
      <c r="F380" s="104"/>
      <c r="G380" s="104"/>
      <c r="H380" s="104"/>
    </row>
    <row r="381" spans="1:8">
      <c r="A381" s="62"/>
      <c r="B381" s="104"/>
      <c r="C381" s="104"/>
      <c r="D381" s="104"/>
      <c r="E381" s="104"/>
      <c r="F381" s="104"/>
      <c r="G381" s="104"/>
      <c r="H381" s="104"/>
    </row>
    <row r="382" spans="1:8">
      <c r="A382" s="62"/>
      <c r="B382" s="104"/>
      <c r="C382" s="104"/>
      <c r="D382" s="104"/>
      <c r="E382" s="104"/>
      <c r="F382" s="104"/>
      <c r="G382" s="104"/>
      <c r="H382" s="104"/>
    </row>
    <row r="383" spans="1:8">
      <c r="A383" s="62"/>
      <c r="B383" s="104"/>
      <c r="C383" s="104"/>
      <c r="D383" s="104"/>
      <c r="E383" s="104"/>
      <c r="F383" s="104"/>
      <c r="G383" s="104"/>
      <c r="H383" s="104"/>
    </row>
    <row r="384" spans="1:8">
      <c r="A384" s="62"/>
      <c r="B384" s="104"/>
      <c r="C384" s="104"/>
      <c r="D384" s="104"/>
      <c r="E384" s="104"/>
      <c r="F384" s="104"/>
      <c r="G384" s="104"/>
      <c r="H384" s="104"/>
    </row>
    <row r="385" spans="1:8">
      <c r="A385" s="62"/>
      <c r="B385" s="104"/>
      <c r="C385" s="104"/>
      <c r="D385" s="104"/>
      <c r="E385" s="104"/>
      <c r="F385" s="104"/>
      <c r="G385" s="104"/>
      <c r="H385" s="104"/>
    </row>
    <row r="386" spans="1:8">
      <c r="A386" s="62"/>
      <c r="B386" s="104"/>
      <c r="C386" s="104"/>
      <c r="D386" s="104"/>
      <c r="E386" s="104"/>
      <c r="F386" s="104"/>
      <c r="G386" s="104"/>
      <c r="H386" s="104"/>
    </row>
    <row r="387" spans="1:8">
      <c r="A387" s="62"/>
      <c r="B387" s="104"/>
      <c r="C387" s="104"/>
      <c r="D387" s="104"/>
      <c r="E387" s="104"/>
      <c r="F387" s="104"/>
      <c r="G387" s="104"/>
      <c r="H387" s="104"/>
    </row>
    <row r="388" spans="1:8">
      <c r="A388" s="62"/>
      <c r="B388" s="104"/>
      <c r="C388" s="104"/>
      <c r="D388" s="104"/>
      <c r="E388" s="104"/>
      <c r="F388" s="104"/>
      <c r="G388" s="104"/>
      <c r="H388" s="104"/>
    </row>
    <row r="389" spans="1:8">
      <c r="A389" s="62"/>
      <c r="B389" s="104"/>
      <c r="C389" s="104"/>
      <c r="D389" s="104"/>
      <c r="E389" s="104"/>
      <c r="F389" s="104"/>
      <c r="G389" s="104"/>
      <c r="H389" s="104"/>
    </row>
    <row r="390" spans="1:8">
      <c r="A390" s="62"/>
      <c r="B390" s="104"/>
      <c r="C390" s="104"/>
      <c r="D390" s="104"/>
      <c r="E390" s="104"/>
      <c r="F390" s="104"/>
      <c r="G390" s="104"/>
      <c r="H390" s="104"/>
    </row>
    <row r="391" spans="1:8">
      <c r="A391" s="62"/>
      <c r="B391" s="104"/>
      <c r="C391" s="104"/>
      <c r="D391" s="104"/>
      <c r="E391" s="104"/>
      <c r="F391" s="104"/>
      <c r="G391" s="104"/>
      <c r="H391" s="104"/>
    </row>
    <row r="392" spans="1:8">
      <c r="A392" s="62"/>
      <c r="B392" s="104"/>
      <c r="C392" s="104"/>
      <c r="D392" s="104"/>
      <c r="E392" s="104"/>
      <c r="F392" s="104"/>
      <c r="G392" s="104"/>
      <c r="H392" s="104"/>
    </row>
    <row r="393" spans="1:8">
      <c r="A393" s="62"/>
      <c r="B393" s="104"/>
      <c r="C393" s="104"/>
      <c r="D393" s="104"/>
      <c r="E393" s="104"/>
      <c r="F393" s="104"/>
      <c r="G393" s="104"/>
      <c r="H393" s="104"/>
    </row>
    <row r="394" spans="1:8">
      <c r="A394" s="62"/>
      <c r="B394" s="104"/>
      <c r="C394" s="104"/>
      <c r="D394" s="104"/>
      <c r="E394" s="104"/>
      <c r="F394" s="104"/>
      <c r="G394" s="104"/>
      <c r="H394" s="104"/>
    </row>
    <row r="395" spans="1:8">
      <c r="A395" s="62"/>
      <c r="B395" s="104"/>
      <c r="C395" s="104"/>
      <c r="D395" s="104"/>
      <c r="E395" s="104"/>
      <c r="F395" s="104"/>
      <c r="G395" s="104"/>
      <c r="H395" s="104"/>
    </row>
    <row r="396" spans="1:8">
      <c r="A396" s="62"/>
      <c r="B396" s="104"/>
      <c r="C396" s="104"/>
      <c r="D396" s="104"/>
      <c r="E396" s="104"/>
      <c r="F396" s="104"/>
      <c r="G396" s="104"/>
      <c r="H396" s="104"/>
    </row>
    <row r="397" spans="1:8">
      <c r="A397" s="62"/>
      <c r="B397" s="104"/>
      <c r="C397" s="104"/>
      <c r="D397" s="104"/>
      <c r="E397" s="104"/>
      <c r="F397" s="104"/>
      <c r="G397" s="104"/>
      <c r="H397" s="104"/>
    </row>
    <row r="398" spans="1:8">
      <c r="A398" s="62"/>
      <c r="B398" s="104"/>
      <c r="C398" s="104"/>
      <c r="D398" s="104"/>
      <c r="E398" s="104"/>
      <c r="F398" s="104"/>
      <c r="G398" s="104"/>
      <c r="H398" s="104"/>
    </row>
    <row r="399" spans="1:8">
      <c r="A399" s="62"/>
      <c r="B399" s="104"/>
      <c r="C399" s="104"/>
      <c r="D399" s="104"/>
      <c r="E399" s="104"/>
      <c r="F399" s="104"/>
      <c r="G399" s="104"/>
      <c r="H399" s="104"/>
    </row>
    <row r="400" spans="1:8">
      <c r="A400" s="62"/>
      <c r="B400" s="104"/>
      <c r="C400" s="104"/>
      <c r="D400" s="104"/>
      <c r="E400" s="104"/>
      <c r="F400" s="104"/>
      <c r="G400" s="104"/>
      <c r="H400" s="104"/>
    </row>
    <row r="401" spans="1:8">
      <c r="A401" s="62"/>
      <c r="B401" s="104"/>
      <c r="C401" s="104"/>
      <c r="D401" s="104"/>
      <c r="E401" s="104"/>
      <c r="F401" s="104"/>
      <c r="G401" s="104"/>
      <c r="H401" s="104"/>
    </row>
    <row r="402" spans="1:8">
      <c r="A402" s="62"/>
      <c r="B402" s="104"/>
      <c r="C402" s="104"/>
      <c r="D402" s="104"/>
      <c r="E402" s="104"/>
      <c r="F402" s="104"/>
      <c r="G402" s="104"/>
      <c r="H402" s="104"/>
    </row>
    <row r="403" spans="1:8">
      <c r="A403" s="62"/>
      <c r="B403" s="104"/>
      <c r="C403" s="104"/>
      <c r="D403" s="104"/>
      <c r="E403" s="104"/>
      <c r="F403" s="104"/>
      <c r="G403" s="104"/>
      <c r="H403" s="104"/>
    </row>
    <row r="404" spans="1:8">
      <c r="A404" s="62"/>
      <c r="B404" s="104"/>
      <c r="C404" s="104"/>
      <c r="D404" s="104"/>
      <c r="E404" s="104"/>
      <c r="F404" s="104"/>
      <c r="G404" s="104"/>
      <c r="H404" s="104"/>
    </row>
    <row r="405" spans="1:8">
      <c r="A405" s="62"/>
      <c r="B405" s="104"/>
      <c r="C405" s="104"/>
      <c r="D405" s="104"/>
      <c r="E405" s="104"/>
      <c r="F405" s="104"/>
      <c r="G405" s="104"/>
      <c r="H405" s="104"/>
    </row>
    <row r="406" spans="1:8">
      <c r="A406" s="62"/>
      <c r="B406" s="104"/>
      <c r="C406" s="104"/>
      <c r="D406" s="104"/>
      <c r="E406" s="104"/>
      <c r="F406" s="104"/>
      <c r="G406" s="104"/>
      <c r="H406" s="104"/>
    </row>
    <row r="407" spans="1:8">
      <c r="A407" s="62"/>
      <c r="B407" s="104"/>
      <c r="C407" s="104"/>
      <c r="D407" s="104"/>
      <c r="E407" s="104"/>
      <c r="F407" s="104"/>
      <c r="G407" s="104"/>
      <c r="H407" s="104"/>
    </row>
    <row r="408" spans="1:8">
      <c r="A408" s="62"/>
      <c r="B408" s="104"/>
      <c r="C408" s="104"/>
      <c r="D408" s="104"/>
      <c r="E408" s="104"/>
      <c r="F408" s="104"/>
      <c r="G408" s="104"/>
      <c r="H408" s="104"/>
    </row>
    <row r="409" spans="1:8">
      <c r="A409" s="62"/>
      <c r="B409" s="104"/>
      <c r="C409" s="104"/>
      <c r="D409" s="104"/>
      <c r="E409" s="104"/>
      <c r="F409" s="104"/>
      <c r="G409" s="104"/>
      <c r="H409" s="104"/>
    </row>
    <row r="410" spans="1:8">
      <c r="A410" s="62"/>
      <c r="B410" s="104"/>
      <c r="C410" s="104"/>
      <c r="D410" s="104"/>
      <c r="E410" s="104"/>
      <c r="F410" s="104"/>
      <c r="G410" s="104"/>
      <c r="H410" s="104"/>
    </row>
    <row r="411" spans="1:8">
      <c r="A411" s="62"/>
      <c r="B411" s="104"/>
      <c r="C411" s="104"/>
      <c r="D411" s="104"/>
      <c r="E411" s="104"/>
      <c r="F411" s="104"/>
      <c r="G411" s="104"/>
      <c r="H411" s="104"/>
    </row>
    <row r="412" spans="1:8">
      <c r="A412" s="62"/>
      <c r="B412" s="104"/>
      <c r="C412" s="104"/>
      <c r="D412" s="104"/>
      <c r="E412" s="104"/>
      <c r="F412" s="104"/>
      <c r="G412" s="104"/>
      <c r="H412" s="104"/>
    </row>
    <row r="413" spans="1:8">
      <c r="A413" s="62"/>
      <c r="B413" s="104"/>
      <c r="C413" s="104"/>
      <c r="D413" s="104"/>
      <c r="E413" s="104"/>
      <c r="F413" s="104"/>
      <c r="G413" s="104"/>
      <c r="H413" s="104"/>
    </row>
    <row r="414" spans="1:8">
      <c r="A414" s="62"/>
      <c r="B414" s="104"/>
      <c r="C414" s="104"/>
      <c r="D414" s="104"/>
      <c r="E414" s="104"/>
      <c r="F414" s="104"/>
      <c r="G414" s="104"/>
      <c r="H414" s="104"/>
    </row>
    <row r="415" spans="1:8">
      <c r="A415" s="62"/>
      <c r="B415" s="104"/>
      <c r="C415" s="104"/>
      <c r="D415" s="104"/>
      <c r="E415" s="104"/>
      <c r="F415" s="104"/>
      <c r="G415" s="104"/>
      <c r="H415" s="104"/>
    </row>
    <row r="416" spans="1:8">
      <c r="A416" s="62"/>
      <c r="B416" s="104"/>
      <c r="C416" s="104"/>
      <c r="D416" s="104"/>
      <c r="E416" s="104"/>
      <c r="F416" s="104"/>
      <c r="G416" s="104"/>
      <c r="H416" s="104"/>
    </row>
    <row r="417" spans="1:8">
      <c r="A417" s="62"/>
      <c r="B417" s="104"/>
      <c r="C417" s="104"/>
      <c r="D417" s="104"/>
      <c r="E417" s="104"/>
      <c r="F417" s="104"/>
      <c r="G417" s="104"/>
      <c r="H417" s="104"/>
    </row>
    <row r="418" spans="1:8">
      <c r="A418" s="62"/>
      <c r="B418" s="104"/>
      <c r="C418" s="104"/>
      <c r="D418" s="104"/>
      <c r="E418" s="104"/>
      <c r="F418" s="104"/>
      <c r="G418" s="104"/>
      <c r="H418" s="104"/>
    </row>
    <row r="419" spans="1:8">
      <c r="A419" s="62"/>
      <c r="B419" s="104"/>
      <c r="C419" s="104"/>
      <c r="D419" s="104"/>
      <c r="E419" s="104"/>
      <c r="F419" s="104"/>
      <c r="G419" s="104"/>
      <c r="H419" s="104"/>
    </row>
    <row r="420" spans="1:8">
      <c r="A420" s="62"/>
      <c r="B420" s="104"/>
      <c r="C420" s="104"/>
      <c r="D420" s="104"/>
      <c r="E420" s="104"/>
      <c r="F420" s="104"/>
      <c r="G420" s="104"/>
      <c r="H420" s="104"/>
    </row>
    <row r="421" spans="1:8">
      <c r="A421" s="62"/>
      <c r="B421" s="104"/>
      <c r="C421" s="104"/>
      <c r="D421" s="104"/>
      <c r="E421" s="104"/>
      <c r="F421" s="104"/>
      <c r="G421" s="104"/>
      <c r="H421" s="104"/>
    </row>
    <row r="422" spans="1:8">
      <c r="A422" s="62"/>
      <c r="B422" s="104"/>
      <c r="C422" s="104"/>
      <c r="D422" s="104"/>
      <c r="E422" s="104"/>
      <c r="F422" s="104"/>
      <c r="G422" s="104"/>
      <c r="H422" s="104"/>
    </row>
    <row r="423" spans="1:8">
      <c r="A423" s="62"/>
      <c r="B423" s="104"/>
      <c r="C423" s="104"/>
      <c r="D423" s="104"/>
      <c r="E423" s="104"/>
      <c r="F423" s="104"/>
      <c r="G423" s="104"/>
      <c r="H423" s="104"/>
    </row>
    <row r="424" spans="1:8">
      <c r="A424" s="62"/>
      <c r="B424" s="104"/>
      <c r="C424" s="104"/>
      <c r="D424" s="104"/>
      <c r="E424" s="104"/>
      <c r="F424" s="104"/>
      <c r="G424" s="104"/>
      <c r="H424" s="104"/>
    </row>
    <row r="425" spans="1:8">
      <c r="A425" s="62"/>
      <c r="B425" s="104"/>
      <c r="C425" s="104"/>
      <c r="D425" s="104"/>
      <c r="E425" s="104"/>
      <c r="F425" s="104"/>
      <c r="G425" s="104"/>
      <c r="H425" s="104"/>
    </row>
    <row r="426" spans="1:8">
      <c r="A426" s="62"/>
      <c r="B426" s="104"/>
      <c r="C426" s="104"/>
      <c r="D426" s="104"/>
      <c r="E426" s="104"/>
      <c r="F426" s="104"/>
      <c r="G426" s="104"/>
      <c r="H426" s="104"/>
    </row>
    <row r="427" spans="1:8">
      <c r="A427" s="62"/>
      <c r="B427" s="104"/>
      <c r="C427" s="104"/>
      <c r="D427" s="104"/>
      <c r="E427" s="104"/>
      <c r="F427" s="104"/>
      <c r="G427" s="104"/>
      <c r="H427" s="104"/>
    </row>
    <row r="428" spans="1:8">
      <c r="A428" s="62"/>
      <c r="B428" s="104"/>
      <c r="C428" s="104"/>
      <c r="D428" s="104"/>
      <c r="E428" s="104"/>
      <c r="F428" s="104"/>
      <c r="G428" s="104"/>
      <c r="H428" s="104"/>
    </row>
    <row r="429" spans="1:8">
      <c r="A429" s="62"/>
      <c r="B429" s="104"/>
      <c r="C429" s="104"/>
      <c r="D429" s="104"/>
      <c r="E429" s="104"/>
      <c r="F429" s="104"/>
      <c r="G429" s="104"/>
      <c r="H429" s="104"/>
    </row>
    <row r="430" spans="1:8">
      <c r="A430" s="62"/>
      <c r="B430" s="104"/>
      <c r="C430" s="104"/>
      <c r="D430" s="104"/>
      <c r="E430" s="104"/>
      <c r="F430" s="104"/>
      <c r="G430" s="104"/>
      <c r="H430" s="104"/>
    </row>
    <row r="431" spans="1:8">
      <c r="A431" s="62"/>
      <c r="B431" s="104"/>
      <c r="C431" s="104"/>
      <c r="D431" s="104"/>
      <c r="E431" s="104"/>
      <c r="F431" s="104"/>
      <c r="G431" s="104"/>
      <c r="H431" s="104"/>
    </row>
    <row r="432" spans="1:8">
      <c r="A432" s="62"/>
      <c r="B432" s="104"/>
      <c r="C432" s="104"/>
      <c r="D432" s="104"/>
      <c r="E432" s="104"/>
      <c r="F432" s="104"/>
      <c r="G432" s="104"/>
      <c r="H432" s="104"/>
    </row>
    <row r="433" spans="1:8">
      <c r="A433" s="62"/>
      <c r="B433" s="104"/>
      <c r="C433" s="104"/>
      <c r="D433" s="104"/>
      <c r="E433" s="104"/>
      <c r="F433" s="104"/>
      <c r="G433" s="104"/>
      <c r="H433" s="104"/>
    </row>
    <row r="434" spans="1:8">
      <c r="A434" s="62"/>
      <c r="B434" s="104"/>
      <c r="C434" s="104"/>
      <c r="D434" s="104"/>
      <c r="E434" s="104"/>
      <c r="F434" s="104"/>
      <c r="G434" s="104"/>
      <c r="H434" s="104"/>
    </row>
    <row r="435" spans="1:8">
      <c r="A435" s="62"/>
      <c r="B435" s="104"/>
      <c r="C435" s="104"/>
      <c r="D435" s="104"/>
      <c r="E435" s="104"/>
      <c r="F435" s="104"/>
      <c r="G435" s="104"/>
      <c r="H435" s="104"/>
    </row>
    <row r="436" spans="1:8">
      <c r="A436" s="62"/>
      <c r="B436" s="104"/>
      <c r="C436" s="104"/>
      <c r="D436" s="104"/>
      <c r="E436" s="104"/>
      <c r="F436" s="104"/>
      <c r="G436" s="104"/>
      <c r="H436" s="104"/>
    </row>
    <row r="437" spans="1:8">
      <c r="A437" s="62"/>
      <c r="B437" s="104"/>
      <c r="C437" s="104"/>
      <c r="D437" s="104"/>
      <c r="E437" s="104"/>
      <c r="F437" s="104"/>
      <c r="G437" s="104"/>
      <c r="H437" s="104"/>
    </row>
    <row r="438" spans="1:8">
      <c r="A438" s="62"/>
      <c r="B438" s="104"/>
      <c r="C438" s="104"/>
      <c r="D438" s="104"/>
      <c r="E438" s="104"/>
      <c r="F438" s="104"/>
      <c r="G438" s="104"/>
      <c r="H438" s="104"/>
    </row>
    <row r="439" spans="1:8">
      <c r="A439" s="62"/>
      <c r="B439" s="104"/>
      <c r="C439" s="104"/>
      <c r="D439" s="104"/>
      <c r="E439" s="104"/>
      <c r="F439" s="104"/>
      <c r="G439" s="104"/>
      <c r="H439" s="104"/>
    </row>
    <row r="440" spans="1:8">
      <c r="A440" s="62"/>
      <c r="B440" s="104"/>
      <c r="C440" s="104"/>
      <c r="D440" s="104"/>
      <c r="E440" s="104"/>
      <c r="F440" s="104"/>
      <c r="G440" s="104"/>
      <c r="H440" s="104"/>
    </row>
    <row r="441" spans="1:8">
      <c r="A441" s="62"/>
      <c r="B441" s="104"/>
      <c r="C441" s="104"/>
      <c r="D441" s="104"/>
      <c r="E441" s="104"/>
      <c r="F441" s="104"/>
      <c r="G441" s="104"/>
      <c r="H441" s="104"/>
    </row>
    <row r="442" spans="1:8">
      <c r="A442" s="62"/>
      <c r="B442" s="104"/>
      <c r="C442" s="104"/>
      <c r="D442" s="104"/>
      <c r="E442" s="104"/>
      <c r="F442" s="104"/>
      <c r="G442" s="104"/>
      <c r="H442" s="104"/>
    </row>
    <row r="443" spans="1:8">
      <c r="A443" s="62"/>
      <c r="B443" s="104"/>
      <c r="C443" s="104"/>
      <c r="D443" s="104"/>
      <c r="E443" s="104"/>
      <c r="F443" s="104"/>
      <c r="G443" s="104"/>
      <c r="H443" s="104"/>
    </row>
    <row r="444" spans="1:8">
      <c r="A444" s="62"/>
      <c r="B444" s="104"/>
      <c r="C444" s="104"/>
      <c r="D444" s="104"/>
      <c r="E444" s="104"/>
      <c r="F444" s="104"/>
      <c r="G444" s="104"/>
      <c r="H444" s="104"/>
    </row>
    <row r="445" spans="1:8">
      <c r="A445" s="62"/>
      <c r="B445" s="104"/>
      <c r="C445" s="104"/>
      <c r="D445" s="104"/>
      <c r="E445" s="104"/>
      <c r="F445" s="104"/>
      <c r="G445" s="104"/>
      <c r="H445" s="104"/>
    </row>
    <row r="446" spans="1:8">
      <c r="A446" s="62"/>
      <c r="B446" s="104"/>
      <c r="C446" s="104"/>
      <c r="D446" s="104"/>
      <c r="E446" s="104"/>
      <c r="F446" s="104"/>
      <c r="G446" s="104"/>
      <c r="H446" s="104"/>
    </row>
    <row r="447" spans="1:8">
      <c r="A447" s="62"/>
      <c r="B447" s="104"/>
      <c r="C447" s="104"/>
      <c r="D447" s="104"/>
      <c r="E447" s="104"/>
      <c r="F447" s="104"/>
      <c r="G447" s="104"/>
      <c r="H447" s="104"/>
    </row>
    <row r="448" spans="1:8">
      <c r="A448" s="62"/>
      <c r="B448" s="104"/>
      <c r="C448" s="104"/>
      <c r="D448" s="104"/>
      <c r="E448" s="104"/>
      <c r="F448" s="104"/>
      <c r="G448" s="104"/>
      <c r="H448" s="104"/>
    </row>
    <row r="449" spans="1:8">
      <c r="A449" s="62"/>
      <c r="B449" s="104"/>
      <c r="C449" s="104"/>
      <c r="D449" s="104"/>
      <c r="E449" s="104"/>
      <c r="F449" s="104"/>
      <c r="G449" s="104"/>
      <c r="H449" s="104"/>
    </row>
    <row r="450" spans="1:8">
      <c r="A450" s="62"/>
      <c r="B450" s="104"/>
      <c r="C450" s="104"/>
      <c r="D450" s="104"/>
      <c r="E450" s="104"/>
      <c r="F450" s="104"/>
      <c r="G450" s="104"/>
      <c r="H450" s="104"/>
    </row>
    <row r="451" spans="1:8">
      <c r="A451" s="62"/>
      <c r="B451" s="104"/>
      <c r="C451" s="104"/>
      <c r="D451" s="104"/>
      <c r="E451" s="104"/>
      <c r="F451" s="104"/>
      <c r="G451" s="104"/>
      <c r="H451" s="104"/>
    </row>
    <row r="452" spans="1:8">
      <c r="A452" s="62"/>
      <c r="B452" s="104"/>
      <c r="C452" s="104"/>
      <c r="D452" s="104"/>
      <c r="E452" s="104"/>
      <c r="F452" s="104"/>
      <c r="G452" s="104"/>
      <c r="H452" s="104"/>
    </row>
    <row r="453" spans="1:8">
      <c r="A453" s="62"/>
      <c r="B453" s="104"/>
      <c r="C453" s="104"/>
      <c r="D453" s="104"/>
      <c r="E453" s="104"/>
      <c r="F453" s="104"/>
      <c r="G453" s="104"/>
      <c r="H453" s="104"/>
    </row>
    <row r="454" spans="1:8">
      <c r="A454" s="62"/>
      <c r="B454" s="104"/>
      <c r="C454" s="104"/>
      <c r="D454" s="104"/>
      <c r="E454" s="104"/>
      <c r="F454" s="104"/>
      <c r="G454" s="104"/>
      <c r="H454" s="104"/>
    </row>
    <row r="455" spans="1:8">
      <c r="A455" s="62"/>
      <c r="B455" s="104"/>
      <c r="C455" s="104"/>
      <c r="D455" s="104"/>
      <c r="E455" s="104"/>
      <c r="F455" s="104"/>
      <c r="G455" s="104"/>
      <c r="H455" s="104"/>
    </row>
    <row r="456" spans="1:8">
      <c r="A456" s="62"/>
      <c r="B456" s="104"/>
      <c r="C456" s="104"/>
      <c r="D456" s="104"/>
      <c r="E456" s="104"/>
      <c r="F456" s="104"/>
      <c r="G456" s="104"/>
      <c r="H456" s="104"/>
    </row>
    <row r="457" spans="1:8">
      <c r="A457" s="62"/>
      <c r="B457" s="104"/>
      <c r="C457" s="104"/>
      <c r="D457" s="104"/>
      <c r="E457" s="104"/>
      <c r="F457" s="104"/>
      <c r="G457" s="104"/>
      <c r="H457" s="104"/>
    </row>
    <row r="458" spans="1:8">
      <c r="A458" s="62"/>
      <c r="B458" s="104"/>
      <c r="C458" s="104"/>
      <c r="D458" s="104"/>
      <c r="E458" s="104"/>
      <c r="F458" s="104"/>
      <c r="G458" s="104"/>
      <c r="H458" s="104"/>
    </row>
    <row r="459" spans="1:8">
      <c r="A459" s="62"/>
      <c r="B459" s="104"/>
      <c r="C459" s="104"/>
      <c r="D459" s="104"/>
      <c r="E459" s="104"/>
      <c r="F459" s="104"/>
      <c r="G459" s="104"/>
      <c r="H459" s="104"/>
    </row>
    <row r="460" spans="1:8">
      <c r="A460" s="62"/>
      <c r="B460" s="104"/>
      <c r="C460" s="104"/>
      <c r="D460" s="104"/>
      <c r="E460" s="104"/>
      <c r="F460" s="104"/>
      <c r="G460" s="104"/>
      <c r="H460" s="104"/>
    </row>
    <row r="461" spans="1:8">
      <c r="A461" s="62"/>
      <c r="B461" s="104"/>
      <c r="C461" s="104"/>
      <c r="D461" s="104"/>
      <c r="E461" s="104"/>
      <c r="F461" s="104"/>
      <c r="G461" s="104"/>
      <c r="H461" s="104"/>
    </row>
    <row r="462" spans="1:8">
      <c r="A462" s="62"/>
      <c r="B462" s="104"/>
      <c r="C462" s="104"/>
      <c r="D462" s="104"/>
      <c r="E462" s="104"/>
      <c r="F462" s="104"/>
      <c r="G462" s="104"/>
      <c r="H462" s="104"/>
    </row>
    <row r="463" spans="1:8">
      <c r="A463" s="62"/>
      <c r="B463" s="104"/>
      <c r="C463" s="104"/>
      <c r="D463" s="104"/>
      <c r="E463" s="104"/>
      <c r="F463" s="104"/>
      <c r="G463" s="104"/>
      <c r="H463" s="104"/>
    </row>
    <row r="464" spans="1:8">
      <c r="A464" s="62"/>
      <c r="B464" s="104"/>
      <c r="C464" s="104"/>
      <c r="D464" s="104"/>
      <c r="E464" s="104"/>
      <c r="F464" s="104"/>
      <c r="G464" s="104"/>
      <c r="H464" s="104"/>
    </row>
    <row r="465" spans="1:8">
      <c r="A465" s="62"/>
      <c r="B465" s="104"/>
      <c r="C465" s="104"/>
      <c r="D465" s="104"/>
      <c r="E465" s="104"/>
      <c r="F465" s="104"/>
      <c r="G465" s="104"/>
      <c r="H465" s="104"/>
    </row>
    <row r="466" spans="1:8">
      <c r="A466" s="62"/>
      <c r="B466" s="104"/>
      <c r="C466" s="104"/>
      <c r="D466" s="104"/>
      <c r="E466" s="104"/>
      <c r="F466" s="104"/>
      <c r="G466" s="104"/>
      <c r="H466" s="104"/>
    </row>
    <row r="467" spans="1:8">
      <c r="A467" s="62"/>
      <c r="B467" s="104"/>
      <c r="C467" s="104"/>
      <c r="D467" s="104"/>
      <c r="E467" s="104"/>
      <c r="F467" s="104"/>
      <c r="G467" s="104"/>
      <c r="H467" s="104"/>
    </row>
    <row r="468" spans="1:8">
      <c r="A468" s="62"/>
      <c r="B468" s="104"/>
      <c r="C468" s="104"/>
      <c r="D468" s="104"/>
      <c r="E468" s="104"/>
      <c r="F468" s="104"/>
      <c r="G468" s="104"/>
      <c r="H468" s="104"/>
    </row>
    <row r="469" spans="1:8">
      <c r="A469" s="62"/>
      <c r="B469" s="104"/>
      <c r="C469" s="104"/>
      <c r="D469" s="104"/>
      <c r="E469" s="104"/>
      <c r="F469" s="104"/>
      <c r="G469" s="104"/>
      <c r="H469" s="104"/>
    </row>
    <row r="470" spans="1:8">
      <c r="A470" s="62"/>
      <c r="B470" s="104"/>
      <c r="C470" s="104"/>
      <c r="D470" s="104"/>
      <c r="E470" s="104"/>
      <c r="F470" s="104"/>
      <c r="G470" s="104"/>
      <c r="H470" s="104"/>
    </row>
    <row r="471" spans="1:8">
      <c r="A471" s="62"/>
      <c r="B471" s="104"/>
      <c r="C471" s="104"/>
      <c r="D471" s="104"/>
      <c r="E471" s="104"/>
      <c r="F471" s="104"/>
      <c r="G471" s="104"/>
      <c r="H471" s="104"/>
    </row>
    <row r="472" spans="1:8">
      <c r="A472" s="62"/>
      <c r="B472" s="104"/>
      <c r="C472" s="104"/>
      <c r="D472" s="104"/>
      <c r="E472" s="104"/>
      <c r="F472" s="104"/>
      <c r="G472" s="104"/>
      <c r="H472" s="104"/>
    </row>
    <row r="473" spans="1:8">
      <c r="A473" s="62"/>
      <c r="B473" s="104"/>
      <c r="C473" s="104"/>
      <c r="D473" s="104"/>
      <c r="E473" s="104"/>
      <c r="F473" s="104"/>
      <c r="G473" s="104"/>
      <c r="H473" s="104"/>
    </row>
    <row r="474" spans="1:8">
      <c r="A474" s="62"/>
      <c r="B474" s="104"/>
      <c r="C474" s="104"/>
      <c r="D474" s="104"/>
      <c r="E474" s="104"/>
      <c r="F474" s="104"/>
      <c r="G474" s="104"/>
      <c r="H474" s="104"/>
    </row>
    <row r="475" spans="1:8">
      <c r="A475" s="62"/>
      <c r="B475" s="104"/>
      <c r="C475" s="104"/>
      <c r="D475" s="104"/>
      <c r="E475" s="104"/>
      <c r="F475" s="104"/>
      <c r="G475" s="104"/>
      <c r="H475" s="104"/>
    </row>
    <row r="476" spans="1:8">
      <c r="A476" s="62"/>
      <c r="B476" s="104"/>
      <c r="C476" s="104"/>
      <c r="D476" s="104"/>
      <c r="E476" s="104"/>
      <c r="F476" s="104"/>
      <c r="G476" s="104"/>
      <c r="H476" s="104"/>
    </row>
    <row r="477" spans="1:8">
      <c r="A477" s="62"/>
      <c r="B477" s="104"/>
      <c r="C477" s="104"/>
      <c r="D477" s="104"/>
      <c r="E477" s="104"/>
      <c r="F477" s="104"/>
      <c r="G477" s="104"/>
      <c r="H477" s="104"/>
    </row>
    <row r="478" spans="1:8">
      <c r="A478" s="62"/>
      <c r="B478" s="104"/>
      <c r="C478" s="104"/>
      <c r="D478" s="104"/>
      <c r="E478" s="104"/>
      <c r="F478" s="104"/>
      <c r="G478" s="104"/>
      <c r="H478" s="104"/>
    </row>
    <row r="479" spans="1:8">
      <c r="A479" s="62"/>
      <c r="B479" s="104"/>
      <c r="C479" s="104"/>
      <c r="D479" s="104"/>
      <c r="E479" s="104"/>
      <c r="F479" s="104"/>
      <c r="G479" s="104"/>
      <c r="H479" s="104"/>
    </row>
    <row r="480" spans="1:8">
      <c r="A480" s="62"/>
      <c r="B480" s="104"/>
      <c r="C480" s="104"/>
      <c r="D480" s="104"/>
      <c r="E480" s="104"/>
      <c r="F480" s="104"/>
      <c r="G480" s="104"/>
      <c r="H480" s="104"/>
    </row>
    <row r="481" spans="1:8">
      <c r="A481" s="62"/>
      <c r="B481" s="104"/>
      <c r="C481" s="104"/>
      <c r="D481" s="104"/>
      <c r="E481" s="104"/>
      <c r="F481" s="104"/>
      <c r="G481" s="104"/>
      <c r="H481" s="104"/>
    </row>
    <row r="482" spans="1:8">
      <c r="A482" s="62"/>
      <c r="B482" s="104"/>
      <c r="C482" s="104"/>
      <c r="D482" s="104"/>
      <c r="E482" s="104"/>
      <c r="F482" s="104"/>
      <c r="G482" s="104"/>
      <c r="H482" s="104"/>
    </row>
    <row r="483" spans="1:8">
      <c r="A483" s="62"/>
      <c r="B483" s="104"/>
      <c r="C483" s="104"/>
      <c r="D483" s="104"/>
      <c r="E483" s="104"/>
      <c r="F483" s="104"/>
      <c r="G483" s="104"/>
      <c r="H483" s="104"/>
    </row>
    <row r="484" spans="1:8">
      <c r="A484" s="62"/>
      <c r="B484" s="104"/>
      <c r="C484" s="104"/>
      <c r="D484" s="104"/>
      <c r="E484" s="104"/>
      <c r="F484" s="104"/>
      <c r="G484" s="104"/>
      <c r="H484" s="104"/>
    </row>
    <row r="485" spans="1:8">
      <c r="A485" s="62"/>
      <c r="B485" s="104"/>
      <c r="C485" s="104"/>
      <c r="D485" s="104"/>
      <c r="E485" s="104"/>
      <c r="F485" s="104"/>
      <c r="G485" s="104"/>
      <c r="H485" s="104"/>
    </row>
    <row r="486" spans="1:8">
      <c r="A486" s="62"/>
      <c r="B486" s="104"/>
      <c r="C486" s="104"/>
      <c r="D486" s="104"/>
      <c r="E486" s="104"/>
      <c r="F486" s="104"/>
      <c r="G486" s="104"/>
      <c r="H486" s="104"/>
    </row>
    <row r="487" spans="1:8">
      <c r="A487" s="62"/>
      <c r="B487" s="104"/>
      <c r="C487" s="104"/>
      <c r="D487" s="104"/>
      <c r="E487" s="104"/>
      <c r="F487" s="104"/>
      <c r="G487" s="104"/>
      <c r="H487" s="104"/>
    </row>
    <row r="488" spans="1:8">
      <c r="A488" s="62"/>
      <c r="B488" s="104"/>
      <c r="C488" s="104"/>
      <c r="D488" s="104"/>
      <c r="E488" s="104"/>
      <c r="F488" s="104"/>
      <c r="G488" s="104"/>
      <c r="H488" s="104"/>
    </row>
    <row r="489" spans="1:8">
      <c r="A489" s="62"/>
      <c r="B489" s="104"/>
      <c r="C489" s="104"/>
      <c r="D489" s="104"/>
      <c r="E489" s="104"/>
      <c r="F489" s="104"/>
      <c r="G489" s="104"/>
      <c r="H489" s="104"/>
    </row>
    <row r="490" spans="1:8">
      <c r="A490" s="62"/>
      <c r="B490" s="104"/>
      <c r="C490" s="104"/>
      <c r="D490" s="104"/>
      <c r="E490" s="104"/>
      <c r="F490" s="104"/>
      <c r="G490" s="104"/>
      <c r="H490" s="104"/>
    </row>
    <row r="491" spans="1:8">
      <c r="A491" s="62"/>
      <c r="B491" s="104"/>
      <c r="C491" s="104"/>
      <c r="D491" s="104"/>
      <c r="E491" s="104"/>
      <c r="F491" s="104"/>
      <c r="G491" s="104"/>
      <c r="H491" s="104"/>
    </row>
    <row r="492" spans="1:8">
      <c r="A492" s="62"/>
      <c r="B492" s="104"/>
      <c r="C492" s="104"/>
      <c r="D492" s="104"/>
      <c r="E492" s="104"/>
      <c r="F492" s="104"/>
      <c r="G492" s="104"/>
      <c r="H492" s="104"/>
    </row>
    <row r="493" spans="1:8">
      <c r="A493" s="62"/>
      <c r="B493" s="104"/>
      <c r="C493" s="104"/>
      <c r="D493" s="104"/>
      <c r="E493" s="104"/>
      <c r="F493" s="104"/>
      <c r="G493" s="104"/>
      <c r="H493" s="104"/>
    </row>
    <row r="494" spans="1:8">
      <c r="A494" s="62"/>
      <c r="B494" s="104"/>
      <c r="C494" s="104"/>
      <c r="D494" s="104"/>
      <c r="E494" s="104"/>
      <c r="F494" s="104"/>
      <c r="G494" s="104"/>
      <c r="H494" s="104"/>
    </row>
    <row r="495" spans="1:8">
      <c r="A495" s="62"/>
      <c r="B495" s="104"/>
      <c r="C495" s="104"/>
      <c r="D495" s="104"/>
      <c r="E495" s="104"/>
      <c r="F495" s="104"/>
      <c r="G495" s="104"/>
      <c r="H495" s="104"/>
    </row>
    <row r="496" spans="1:8">
      <c r="A496" s="62"/>
      <c r="B496" s="104"/>
      <c r="C496" s="104"/>
      <c r="D496" s="104"/>
      <c r="E496" s="104"/>
      <c r="F496" s="104"/>
      <c r="G496" s="104"/>
      <c r="H496" s="104"/>
    </row>
    <row r="497" spans="1:8">
      <c r="A497" s="62"/>
      <c r="B497" s="104"/>
      <c r="C497" s="104"/>
      <c r="D497" s="104"/>
      <c r="E497" s="104"/>
      <c r="F497" s="104"/>
      <c r="G497" s="104"/>
      <c r="H497" s="104"/>
    </row>
    <row r="498" spans="1:8">
      <c r="A498" s="62"/>
      <c r="B498" s="104"/>
      <c r="C498" s="104"/>
      <c r="D498" s="104"/>
      <c r="E498" s="104"/>
      <c r="F498" s="104"/>
      <c r="G498" s="104"/>
      <c r="H498" s="104"/>
    </row>
    <row r="499" spans="1:8">
      <c r="A499" s="62"/>
      <c r="B499" s="104"/>
      <c r="C499" s="104"/>
      <c r="D499" s="104"/>
      <c r="E499" s="104"/>
      <c r="F499" s="104"/>
      <c r="G499" s="104"/>
      <c r="H499" s="104"/>
    </row>
    <row r="500" spans="1:8">
      <c r="A500" s="62"/>
      <c r="B500" s="104"/>
      <c r="C500" s="104"/>
      <c r="D500" s="104"/>
      <c r="E500" s="104"/>
      <c r="F500" s="104"/>
      <c r="G500" s="104"/>
      <c r="H500" s="104"/>
    </row>
    <row r="501" spans="1:8">
      <c r="A501" s="62"/>
      <c r="B501" s="104"/>
      <c r="C501" s="104"/>
      <c r="D501" s="104"/>
      <c r="E501" s="104"/>
      <c r="F501" s="104"/>
      <c r="G501" s="104"/>
      <c r="H501" s="104"/>
    </row>
    <row r="502" spans="1:8">
      <c r="A502" s="62"/>
      <c r="B502" s="104"/>
      <c r="C502" s="104"/>
      <c r="D502" s="104"/>
      <c r="E502" s="104"/>
      <c r="F502" s="104"/>
      <c r="G502" s="104"/>
      <c r="H502" s="104"/>
    </row>
    <row r="503" spans="1:8">
      <c r="A503" s="62"/>
      <c r="B503" s="104"/>
      <c r="C503" s="104"/>
      <c r="D503" s="104"/>
      <c r="E503" s="104"/>
      <c r="F503" s="104"/>
      <c r="G503" s="104"/>
      <c r="H503" s="104"/>
    </row>
    <row r="504" spans="1:8">
      <c r="A504" s="62"/>
      <c r="B504" s="104"/>
      <c r="C504" s="104"/>
      <c r="D504" s="104"/>
      <c r="E504" s="104"/>
      <c r="F504" s="104"/>
      <c r="G504" s="104"/>
      <c r="H504" s="104"/>
    </row>
    <row r="505" spans="1:8">
      <c r="A505" s="62"/>
      <c r="B505" s="104"/>
      <c r="C505" s="104"/>
      <c r="D505" s="104"/>
      <c r="E505" s="104"/>
      <c r="F505" s="104"/>
      <c r="G505" s="104"/>
      <c r="H505" s="104"/>
    </row>
    <row r="506" spans="1:8">
      <c r="A506" s="62"/>
      <c r="B506" s="104"/>
      <c r="C506" s="104"/>
      <c r="D506" s="104"/>
      <c r="E506" s="104"/>
      <c r="F506" s="104"/>
      <c r="G506" s="104"/>
      <c r="H506" s="104"/>
    </row>
    <row r="507" spans="1:8">
      <c r="A507" s="62"/>
      <c r="B507" s="104"/>
      <c r="C507" s="104"/>
      <c r="D507" s="104"/>
      <c r="E507" s="104"/>
      <c r="F507" s="104"/>
      <c r="G507" s="104"/>
      <c r="H507" s="104"/>
    </row>
    <row r="508" spans="1:8">
      <c r="A508" s="62"/>
      <c r="B508" s="104"/>
      <c r="C508" s="104"/>
      <c r="D508" s="104"/>
      <c r="E508" s="104"/>
      <c r="F508" s="104"/>
      <c r="G508" s="104"/>
      <c r="H508" s="104"/>
    </row>
    <row r="509" spans="1:8">
      <c r="A509" s="62"/>
      <c r="B509" s="104"/>
      <c r="C509" s="104"/>
      <c r="D509" s="104"/>
      <c r="E509" s="104"/>
      <c r="F509" s="104"/>
      <c r="G509" s="104"/>
      <c r="H509" s="104"/>
    </row>
    <row r="510" spans="1:8">
      <c r="A510" s="62"/>
      <c r="B510" s="104"/>
      <c r="C510" s="104"/>
      <c r="D510" s="104"/>
      <c r="E510" s="104"/>
      <c r="F510" s="104"/>
      <c r="G510" s="104"/>
      <c r="H510" s="104"/>
    </row>
    <row r="511" spans="1:8">
      <c r="A511" s="62"/>
      <c r="B511" s="104"/>
      <c r="C511" s="104"/>
      <c r="D511" s="104"/>
      <c r="E511" s="104"/>
      <c r="F511" s="104"/>
      <c r="G511" s="104"/>
      <c r="H511" s="104"/>
    </row>
    <row r="512" spans="1:8">
      <c r="A512" s="62"/>
      <c r="B512" s="104"/>
      <c r="C512" s="104"/>
      <c r="D512" s="104"/>
      <c r="E512" s="104"/>
      <c r="F512" s="104"/>
      <c r="G512" s="104"/>
      <c r="H512" s="104"/>
    </row>
    <row r="513" spans="1:8">
      <c r="A513" s="62"/>
      <c r="B513" s="104"/>
      <c r="C513" s="104"/>
      <c r="D513" s="104"/>
      <c r="E513" s="104"/>
      <c r="F513" s="104"/>
      <c r="G513" s="104"/>
      <c r="H513" s="104"/>
    </row>
  </sheetData>
  <mergeCells count="6">
    <mergeCell ref="D1:H3"/>
    <mergeCell ref="A4:C4"/>
    <mergeCell ref="D4:H4"/>
    <mergeCell ref="A5:C5"/>
    <mergeCell ref="D5:G5"/>
    <mergeCell ref="H5:H6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2" orientation="portrait" r:id="rId1"/>
  <headerFooter>
    <oddFooter>&amp;L&amp;"Calibri,Regular"&amp;12&amp;K184782&amp;F&amp;C&amp;"Calibri,Regular"&amp;12&amp;K184782&amp;A&amp;R&amp;"Calibri,Regular"&amp;12&amp;K184782&amp;P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>
    <pageSetUpPr fitToPage="1"/>
  </sheetPr>
  <dimension ref="A1:J511"/>
  <sheetViews>
    <sheetView showGridLines="0" workbookViewId="0">
      <pane ySplit="2415" topLeftCell="A199" activePane="bottomLeft"/>
      <selection activeCell="A173" sqref="A173"/>
      <selection pane="bottomLeft" activeCell="H212" sqref="H212"/>
    </sheetView>
  </sheetViews>
  <sheetFormatPr defaultRowHeight="12.75"/>
  <cols>
    <col min="1" max="1" width="13.42578125" style="67" customWidth="1"/>
    <col min="2" max="2" width="13.5703125" style="67" customWidth="1"/>
    <col min="3" max="3" width="10.140625" style="67" customWidth="1"/>
    <col min="4" max="4" width="9.140625" style="67" customWidth="1"/>
    <col min="5" max="5" width="9.140625" style="67"/>
    <col min="6" max="6" width="13.5703125" style="67" bestFit="1" customWidth="1"/>
    <col min="7" max="7" width="12.85546875" style="67" bestFit="1" customWidth="1"/>
    <col min="8" max="8" width="15.7109375" style="67" customWidth="1"/>
    <col min="9" max="16384" width="9.140625" style="67"/>
  </cols>
  <sheetData>
    <row r="1" spans="1:10" ht="16.5" customHeight="1">
      <c r="B1" s="101"/>
      <c r="C1" s="101"/>
      <c r="D1" s="294" t="s">
        <v>251</v>
      </c>
      <c r="E1" s="294"/>
      <c r="F1" s="294"/>
      <c r="G1" s="294"/>
      <c r="H1" s="294"/>
    </row>
    <row r="2" spans="1:10" ht="17.25" customHeight="1">
      <c r="A2" s="101"/>
      <c r="B2" s="101"/>
      <c r="C2" s="101"/>
      <c r="D2" s="294"/>
      <c r="E2" s="294"/>
      <c r="F2" s="294"/>
      <c r="G2" s="294"/>
      <c r="H2" s="294"/>
    </row>
    <row r="3" spans="1:10" ht="21" customHeight="1" thickBot="1">
      <c r="A3" s="101"/>
      <c r="B3" s="101"/>
      <c r="C3" s="101"/>
      <c r="D3" s="306"/>
      <c r="E3" s="306"/>
      <c r="F3" s="306"/>
      <c r="G3" s="306"/>
      <c r="H3" s="306"/>
    </row>
    <row r="4" spans="1:10" s="62" customFormat="1" ht="19.5" thickBot="1">
      <c r="A4" s="307" t="s">
        <v>69</v>
      </c>
      <c r="B4" s="308"/>
      <c r="C4" s="309"/>
      <c r="D4" s="310" t="s">
        <v>61</v>
      </c>
      <c r="E4" s="311"/>
      <c r="F4" s="311"/>
      <c r="G4" s="311" t="s">
        <v>6</v>
      </c>
      <c r="H4" s="312"/>
    </row>
    <row r="5" spans="1:10" s="62" customFormat="1" ht="18" customHeight="1" thickBot="1">
      <c r="A5" s="313" t="s">
        <v>56</v>
      </c>
      <c r="B5" s="314"/>
      <c r="C5" s="315"/>
      <c r="D5" s="298" t="s">
        <v>57</v>
      </c>
      <c r="E5" s="299"/>
      <c r="F5" s="299"/>
      <c r="G5" s="300"/>
      <c r="H5" s="316" t="s">
        <v>58</v>
      </c>
    </row>
    <row r="6" spans="1:10" s="62" customFormat="1" ht="15.75" customHeight="1" thickBot="1">
      <c r="A6" s="126" t="s">
        <v>109</v>
      </c>
      <c r="B6" s="127" t="s">
        <v>110</v>
      </c>
      <c r="C6" s="127" t="s">
        <v>4</v>
      </c>
      <c r="D6" s="127" t="s">
        <v>14</v>
      </c>
      <c r="E6" s="127" t="s">
        <v>15</v>
      </c>
      <c r="F6" s="127" t="s">
        <v>16</v>
      </c>
      <c r="G6" s="127" t="s">
        <v>17</v>
      </c>
      <c r="H6" s="317"/>
    </row>
    <row r="7" spans="1:10" s="102" customFormat="1" ht="16.5" customHeight="1" thickBot="1">
      <c r="A7" s="136" t="s">
        <v>67</v>
      </c>
      <c r="B7" s="134"/>
      <c r="C7" s="134"/>
      <c r="D7" s="134"/>
      <c r="E7" s="134"/>
      <c r="F7" s="134"/>
      <c r="G7" s="134"/>
      <c r="H7" s="135"/>
    </row>
    <row r="8" spans="1:10" ht="15" hidden="1">
      <c r="A8" s="228" t="s">
        <v>113</v>
      </c>
      <c r="B8" s="229">
        <v>1613.38</v>
      </c>
      <c r="C8" s="204">
        <f>100*B8/B$8</f>
        <v>100</v>
      </c>
      <c r="D8" s="204"/>
      <c r="E8" s="204"/>
      <c r="F8" s="204"/>
      <c r="G8" s="205"/>
      <c r="H8" s="206">
        <f>+B$211/B8</f>
        <v>3.0684468641922833</v>
      </c>
    </row>
    <row r="9" spans="1:10" ht="15" hidden="1">
      <c r="A9" s="230" t="s">
        <v>114</v>
      </c>
      <c r="B9" s="231">
        <f>+B8</f>
        <v>1613.38</v>
      </c>
      <c r="C9" s="207">
        <f t="shared" ref="C9:C106" si="0">100*B9/B$8</f>
        <v>100</v>
      </c>
      <c r="D9" s="207">
        <f t="shared" ref="D9:D26" si="1">100*(B9/B8-1)</f>
        <v>0</v>
      </c>
      <c r="E9" s="207"/>
      <c r="F9" s="207"/>
      <c r="G9" s="208"/>
      <c r="H9" s="209">
        <f>+B$211/B9</f>
        <v>3.0684468641922833</v>
      </c>
    </row>
    <row r="10" spans="1:10" ht="15" hidden="1">
      <c r="A10" s="230" t="s">
        <v>115</v>
      </c>
      <c r="B10" s="231">
        <f>+B9</f>
        <v>1613.38</v>
      </c>
      <c r="C10" s="207">
        <f t="shared" si="0"/>
        <v>100</v>
      </c>
      <c r="D10" s="207">
        <f t="shared" si="1"/>
        <v>0</v>
      </c>
      <c r="E10" s="207"/>
      <c r="F10" s="207"/>
      <c r="G10" s="208"/>
      <c r="H10" s="209">
        <f>+B$211/B10</f>
        <v>3.0684468641922833</v>
      </c>
    </row>
    <row r="11" spans="1:10" ht="15" hidden="1">
      <c r="A11" s="230" t="s">
        <v>116</v>
      </c>
      <c r="B11" s="231">
        <f>+B10</f>
        <v>1613.38</v>
      </c>
      <c r="C11" s="207">
        <f t="shared" si="0"/>
        <v>100</v>
      </c>
      <c r="D11" s="207">
        <f t="shared" si="1"/>
        <v>0</v>
      </c>
      <c r="E11" s="207">
        <f t="shared" ref="E11:E16" si="2">100*(B11/B$10-1)</f>
        <v>0</v>
      </c>
      <c r="F11" s="207"/>
      <c r="G11" s="208"/>
      <c r="H11" s="209">
        <f>+B$211/B11</f>
        <v>3.0684468641922833</v>
      </c>
    </row>
    <row r="12" spans="1:10" ht="15" hidden="1">
      <c r="A12" s="230" t="s">
        <v>117</v>
      </c>
      <c r="B12" s="231">
        <f>+B11</f>
        <v>1613.38</v>
      </c>
      <c r="C12" s="207">
        <f t="shared" si="0"/>
        <v>100</v>
      </c>
      <c r="D12" s="207">
        <f t="shared" si="1"/>
        <v>0</v>
      </c>
      <c r="E12" s="207">
        <f t="shared" si="2"/>
        <v>0</v>
      </c>
      <c r="F12" s="207"/>
      <c r="G12" s="208"/>
      <c r="H12" s="209">
        <f>+B$211/B12</f>
        <v>3.0684468641922833</v>
      </c>
    </row>
    <row r="13" spans="1:10" ht="15" hidden="1">
      <c r="A13" s="230" t="s">
        <v>118</v>
      </c>
      <c r="B13" s="231">
        <v>1625.48</v>
      </c>
      <c r="C13" s="207">
        <f t="shared" si="0"/>
        <v>100.74997830641261</v>
      </c>
      <c r="D13" s="207">
        <f t="shared" si="1"/>
        <v>0.74997830641261309</v>
      </c>
      <c r="E13" s="207">
        <f t="shared" si="2"/>
        <v>0.74997830641261309</v>
      </c>
      <c r="F13" s="207"/>
      <c r="G13" s="208"/>
      <c r="H13" s="209">
        <f>+B$211/B13</f>
        <v>3.0456054837651321</v>
      </c>
    </row>
    <row r="14" spans="1:10" ht="15" hidden="1">
      <c r="A14" s="230" t="s">
        <v>119</v>
      </c>
      <c r="B14" s="231">
        <f>+B13</f>
        <v>1625.48</v>
      </c>
      <c r="C14" s="207">
        <f t="shared" si="0"/>
        <v>100.74997830641261</v>
      </c>
      <c r="D14" s="207">
        <f t="shared" si="1"/>
        <v>0</v>
      </c>
      <c r="E14" s="207">
        <f t="shared" si="2"/>
        <v>0.74997830641261309</v>
      </c>
      <c r="F14" s="207"/>
      <c r="G14" s="208"/>
      <c r="H14" s="209">
        <f>+B$211/B14</f>
        <v>3.0456054837651321</v>
      </c>
    </row>
    <row r="15" spans="1:10" ht="15" hidden="1">
      <c r="A15" s="230" t="s">
        <v>120</v>
      </c>
      <c r="B15" s="231">
        <v>1723.01</v>
      </c>
      <c r="C15" s="207">
        <f t="shared" si="0"/>
        <v>106.79505138281124</v>
      </c>
      <c r="D15" s="207">
        <f t="shared" si="1"/>
        <v>6.0000738243472629</v>
      </c>
      <c r="E15" s="207">
        <f t="shared" si="2"/>
        <v>6.7950513828112236</v>
      </c>
      <c r="F15" s="207"/>
      <c r="G15" s="208"/>
      <c r="H15" s="209">
        <f>+B$211/B15</f>
        <v>2.873210719467993</v>
      </c>
    </row>
    <row r="16" spans="1:10" ht="15" hidden="1">
      <c r="A16" s="230" t="s">
        <v>121</v>
      </c>
      <c r="B16" s="231">
        <v>1723.01</v>
      </c>
      <c r="C16" s="207">
        <f t="shared" si="0"/>
        <v>106.79505138281124</v>
      </c>
      <c r="D16" s="207">
        <f t="shared" si="1"/>
        <v>0</v>
      </c>
      <c r="E16" s="207">
        <f t="shared" si="2"/>
        <v>6.7950513828112236</v>
      </c>
      <c r="F16" s="207"/>
      <c r="G16" s="208"/>
      <c r="H16" s="209">
        <f>+B$211/B16</f>
        <v>2.873210719467993</v>
      </c>
      <c r="J16" s="121"/>
    </row>
    <row r="17" spans="1:8" ht="15" hidden="1">
      <c r="A17" s="230" t="s">
        <v>122</v>
      </c>
      <c r="B17" s="231">
        <v>1723.01</v>
      </c>
      <c r="C17" s="207">
        <f t="shared" si="0"/>
        <v>106.79505138281124</v>
      </c>
      <c r="D17" s="207">
        <f t="shared" si="1"/>
        <v>0</v>
      </c>
      <c r="E17" s="207">
        <f t="shared" ref="E17:E22" si="3">100*(B17/B$10-1)</f>
        <v>6.7950513828112236</v>
      </c>
      <c r="F17" s="207"/>
      <c r="G17" s="208"/>
      <c r="H17" s="209">
        <f>+B$211/B17</f>
        <v>2.873210719467993</v>
      </c>
    </row>
    <row r="18" spans="1:8" ht="15" hidden="1">
      <c r="A18" s="230" t="s">
        <v>123</v>
      </c>
      <c r="B18" s="231">
        <v>1757.47</v>
      </c>
      <c r="C18" s="207">
        <f t="shared" si="0"/>
        <v>108.93094001413182</v>
      </c>
      <c r="D18" s="207">
        <f t="shared" si="1"/>
        <v>1.9999883924063155</v>
      </c>
      <c r="E18" s="207">
        <f t="shared" si="3"/>
        <v>8.9309400141318172</v>
      </c>
      <c r="F18" s="210"/>
      <c r="G18" s="211"/>
      <c r="H18" s="209">
        <f>+B$211/B18</f>
        <v>2.8168735749404239</v>
      </c>
    </row>
    <row r="19" spans="1:8" ht="15" hidden="1">
      <c r="A19" s="230" t="s">
        <v>124</v>
      </c>
      <c r="B19" s="231">
        <v>1757.47</v>
      </c>
      <c r="C19" s="207">
        <f t="shared" si="0"/>
        <v>108.93094001413182</v>
      </c>
      <c r="D19" s="207">
        <f t="shared" si="1"/>
        <v>0</v>
      </c>
      <c r="E19" s="207">
        <f t="shared" si="3"/>
        <v>8.9309400141318172</v>
      </c>
      <c r="F19" s="210"/>
      <c r="G19" s="211"/>
      <c r="H19" s="209">
        <f>+B$211/B19</f>
        <v>2.8168735749404239</v>
      </c>
    </row>
    <row r="20" spans="1:8" ht="15" hidden="1">
      <c r="A20" s="230" t="s">
        <v>125</v>
      </c>
      <c r="B20" s="231">
        <f>+B18</f>
        <v>1757.47</v>
      </c>
      <c r="C20" s="207">
        <f t="shared" si="0"/>
        <v>108.93094001413182</v>
      </c>
      <c r="D20" s="207">
        <f t="shared" si="1"/>
        <v>0</v>
      </c>
      <c r="E20" s="207">
        <f t="shared" si="3"/>
        <v>8.9309400141318172</v>
      </c>
      <c r="F20" s="210">
        <f>(100*(B20/B8-1))</f>
        <v>8.9309400141318172</v>
      </c>
      <c r="G20" s="211"/>
      <c r="H20" s="209">
        <f>+B$211/B20</f>
        <v>2.8168735749404239</v>
      </c>
    </row>
    <row r="21" spans="1:8" ht="15" hidden="1">
      <c r="A21" s="230" t="s">
        <v>126</v>
      </c>
      <c r="B21" s="231">
        <f>+B20</f>
        <v>1757.47</v>
      </c>
      <c r="C21" s="207">
        <f t="shared" si="0"/>
        <v>108.93094001413182</v>
      </c>
      <c r="D21" s="207">
        <f t="shared" si="1"/>
        <v>0</v>
      </c>
      <c r="E21" s="207">
        <f t="shared" si="3"/>
        <v>8.9309400141318172</v>
      </c>
      <c r="F21" s="210">
        <f t="shared" ref="F21:F32" si="4">(100*(B21/B9-1))</f>
        <v>8.9309400141318172</v>
      </c>
      <c r="G21" s="211"/>
      <c r="H21" s="209">
        <f>+B$211/B21</f>
        <v>2.8168735749404239</v>
      </c>
    </row>
    <row r="22" spans="1:8" ht="15" hidden="1">
      <c r="A22" s="230" t="s">
        <v>127</v>
      </c>
      <c r="B22" s="231">
        <v>1783.32</v>
      </c>
      <c r="C22" s="207">
        <f t="shared" si="0"/>
        <v>110.53316639601333</v>
      </c>
      <c r="D22" s="207">
        <f t="shared" si="1"/>
        <v>1.4708643675283239</v>
      </c>
      <c r="E22" s="207">
        <f t="shared" si="3"/>
        <v>10.533166396013316</v>
      </c>
      <c r="F22" s="210">
        <f t="shared" si="4"/>
        <v>10.533166396013316</v>
      </c>
      <c r="G22" s="211"/>
      <c r="H22" s="209">
        <f>+B$211/B22</f>
        <v>2.7760417657798637</v>
      </c>
    </row>
    <row r="23" spans="1:8" ht="15" hidden="1">
      <c r="A23" s="230" t="s">
        <v>128</v>
      </c>
      <c r="B23" s="231">
        <v>1783.32</v>
      </c>
      <c r="C23" s="207">
        <f t="shared" si="0"/>
        <v>110.53316639601333</v>
      </c>
      <c r="D23" s="207">
        <f t="shared" si="1"/>
        <v>0</v>
      </c>
      <c r="E23" s="207">
        <f t="shared" ref="E23:E29" si="5">100*(B23/B$22-1)</f>
        <v>0</v>
      </c>
      <c r="F23" s="210">
        <f t="shared" si="4"/>
        <v>10.533166396013316</v>
      </c>
      <c r="G23" s="211"/>
      <c r="H23" s="209">
        <f>+B$211/B23</f>
        <v>2.7760417657798637</v>
      </c>
    </row>
    <row r="24" spans="1:8" ht="15" hidden="1">
      <c r="A24" s="230" t="s">
        <v>129</v>
      </c>
      <c r="B24" s="231">
        <v>1783.32</v>
      </c>
      <c r="C24" s="207">
        <f t="shared" si="0"/>
        <v>110.53316639601333</v>
      </c>
      <c r="D24" s="207">
        <f t="shared" si="1"/>
        <v>0</v>
      </c>
      <c r="E24" s="207">
        <f t="shared" si="5"/>
        <v>0</v>
      </c>
      <c r="F24" s="210">
        <f t="shared" si="4"/>
        <v>10.533166396013316</v>
      </c>
      <c r="G24" s="211"/>
      <c r="H24" s="209">
        <f>+B$211/B24</f>
        <v>2.7760417657798637</v>
      </c>
    </row>
    <row r="25" spans="1:8" ht="15" hidden="1">
      <c r="A25" s="230" t="s">
        <v>130</v>
      </c>
      <c r="B25" s="231">
        <v>1783.32</v>
      </c>
      <c r="C25" s="207">
        <f t="shared" si="0"/>
        <v>110.53316639601333</v>
      </c>
      <c r="D25" s="207">
        <f t="shared" si="1"/>
        <v>0</v>
      </c>
      <c r="E25" s="207">
        <f t="shared" si="5"/>
        <v>0</v>
      </c>
      <c r="F25" s="210">
        <f t="shared" si="4"/>
        <v>9.7103624775450861</v>
      </c>
      <c r="G25" s="211"/>
      <c r="H25" s="209">
        <f>+B$211/B25</f>
        <v>2.7760417657798637</v>
      </c>
    </row>
    <row r="26" spans="1:8" ht="15" hidden="1">
      <c r="A26" s="230" t="s">
        <v>131</v>
      </c>
      <c r="B26" s="231">
        <v>1783.32</v>
      </c>
      <c r="C26" s="207">
        <f t="shared" si="0"/>
        <v>110.53316639601333</v>
      </c>
      <c r="D26" s="207">
        <f t="shared" si="1"/>
        <v>0</v>
      </c>
      <c r="E26" s="207">
        <f t="shared" si="5"/>
        <v>0</v>
      </c>
      <c r="F26" s="210">
        <f t="shared" si="4"/>
        <v>9.7103624775450861</v>
      </c>
      <c r="G26" s="211"/>
      <c r="H26" s="209">
        <f>+B$211/B26</f>
        <v>2.7760417657798637</v>
      </c>
    </row>
    <row r="27" spans="1:8" ht="15" hidden="1">
      <c r="A27" s="230" t="s">
        <v>132</v>
      </c>
      <c r="B27" s="231">
        <v>1925.99</v>
      </c>
      <c r="C27" s="207">
        <f t="shared" si="0"/>
        <v>119.37609242707855</v>
      </c>
      <c r="D27" s="207">
        <f t="shared" ref="D27:D32" si="6">100*(B27/B26-1)</f>
        <v>8.0002467308166736</v>
      </c>
      <c r="E27" s="207">
        <f t="shared" si="5"/>
        <v>8.0002467308166736</v>
      </c>
      <c r="F27" s="210">
        <f t="shared" si="4"/>
        <v>11.780546833738637</v>
      </c>
      <c r="G27" s="211"/>
      <c r="H27" s="209">
        <f>+B$211/B27</f>
        <v>2.5704031701880834</v>
      </c>
    </row>
    <row r="28" spans="1:8" ht="15" hidden="1">
      <c r="A28" s="230" t="s">
        <v>133</v>
      </c>
      <c r="B28" s="231">
        <v>1925.99</v>
      </c>
      <c r="C28" s="207">
        <f t="shared" si="0"/>
        <v>119.37609242707855</v>
      </c>
      <c r="D28" s="207">
        <f t="shared" si="6"/>
        <v>0</v>
      </c>
      <c r="E28" s="207">
        <f t="shared" si="5"/>
        <v>8.0002467308166736</v>
      </c>
      <c r="F28" s="210">
        <f t="shared" si="4"/>
        <v>11.780546833738637</v>
      </c>
      <c r="G28" s="211"/>
      <c r="H28" s="209">
        <f>+B$211/B28</f>
        <v>2.5704031701880834</v>
      </c>
    </row>
    <row r="29" spans="1:8" ht="15" hidden="1">
      <c r="A29" s="230" t="s">
        <v>134</v>
      </c>
      <c r="B29" s="231">
        <v>1925.99</v>
      </c>
      <c r="C29" s="207">
        <f t="shared" si="0"/>
        <v>119.37609242707855</v>
      </c>
      <c r="D29" s="207">
        <f t="shared" si="6"/>
        <v>0</v>
      </c>
      <c r="E29" s="207">
        <f t="shared" si="5"/>
        <v>8.0002467308166736</v>
      </c>
      <c r="F29" s="210">
        <f t="shared" si="4"/>
        <v>11.780546833738637</v>
      </c>
      <c r="G29" s="211"/>
      <c r="H29" s="209">
        <f>+B$211/B29</f>
        <v>2.5704031701880834</v>
      </c>
    </row>
    <row r="30" spans="1:8" ht="15" hidden="1">
      <c r="A30" s="230" t="s">
        <v>135</v>
      </c>
      <c r="B30" s="231">
        <v>1925.99</v>
      </c>
      <c r="C30" s="207">
        <f t="shared" si="0"/>
        <v>119.37609242707855</v>
      </c>
      <c r="D30" s="207">
        <f t="shared" si="6"/>
        <v>0</v>
      </c>
      <c r="E30" s="207">
        <f>100*(B30/B$22-1)</f>
        <v>8.0002467308166736</v>
      </c>
      <c r="F30" s="210">
        <f t="shared" si="4"/>
        <v>9.5887838768229372</v>
      </c>
      <c r="G30" s="211"/>
      <c r="H30" s="209">
        <f>+B$211/B30</f>
        <v>2.5704031701880834</v>
      </c>
    </row>
    <row r="31" spans="1:8" ht="15" hidden="1">
      <c r="A31" s="230" t="s">
        <v>136</v>
      </c>
      <c r="B31" s="231">
        <v>2214.88</v>
      </c>
      <c r="C31" s="207">
        <f t="shared" si="0"/>
        <v>137.28197944687548</v>
      </c>
      <c r="D31" s="207">
        <f t="shared" si="6"/>
        <v>14.999558668528913</v>
      </c>
      <c r="E31" s="207">
        <f>100*(B31/B$22-1)</f>
        <v>24.199807101361515</v>
      </c>
      <c r="F31" s="210">
        <f t="shared" si="4"/>
        <v>26.026617808554352</v>
      </c>
      <c r="G31" s="211"/>
      <c r="H31" s="209">
        <f>+B$211/B31</f>
        <v>2.2351417691931603</v>
      </c>
    </row>
    <row r="32" spans="1:8" ht="15" hidden="1">
      <c r="A32" s="230" t="s">
        <v>137</v>
      </c>
      <c r="B32" s="231">
        <v>1925.99</v>
      </c>
      <c r="C32" s="207">
        <f t="shared" si="0"/>
        <v>119.37609242707855</v>
      </c>
      <c r="D32" s="207">
        <f t="shared" si="6"/>
        <v>-13.043144549591856</v>
      </c>
      <c r="E32" s="207">
        <f>100*(B32/B$22-1)</f>
        <v>8.0002467308166736</v>
      </c>
      <c r="F32" s="210">
        <f t="shared" si="4"/>
        <v>9.5887838768229372</v>
      </c>
      <c r="G32" s="211">
        <f t="shared" ref="G32:G37" si="7">100*(B32/B8-1)</f>
        <v>19.37609242707854</v>
      </c>
      <c r="H32" s="209">
        <f>+B$211/B32</f>
        <v>2.5704031701880834</v>
      </c>
    </row>
    <row r="33" spans="1:8" ht="15" hidden="1">
      <c r="A33" s="230" t="s">
        <v>138</v>
      </c>
      <c r="B33" s="231">
        <f>1925.99*1.025</f>
        <v>1974.1397499999998</v>
      </c>
      <c r="C33" s="207">
        <f t="shared" si="0"/>
        <v>122.3604947377555</v>
      </c>
      <c r="D33" s="207">
        <f t="shared" ref="D33:D38" si="8">100*(B33/B32-1)</f>
        <v>2.4999999999999911</v>
      </c>
      <c r="E33" s="207">
        <f>100*(B33/B$22-1)</f>
        <v>10.700252899087094</v>
      </c>
      <c r="F33" s="210">
        <f t="shared" ref="F33:F38" si="9">(100*(B33/B21-1))</f>
        <v>12.328503473743503</v>
      </c>
      <c r="G33" s="211">
        <f t="shared" si="7"/>
        <v>22.360494737755499</v>
      </c>
      <c r="H33" s="209">
        <f>+B$211/B33</f>
        <v>2.5077104099395937</v>
      </c>
    </row>
    <row r="34" spans="1:8" ht="15" hidden="1">
      <c r="A34" s="230" t="s">
        <v>139</v>
      </c>
      <c r="B34" s="231">
        <f>1925.99*1.025</f>
        <v>1974.1397499999998</v>
      </c>
      <c r="C34" s="207">
        <f t="shared" si="0"/>
        <v>122.3604947377555</v>
      </c>
      <c r="D34" s="207">
        <f t="shared" si="8"/>
        <v>0</v>
      </c>
      <c r="E34" s="207">
        <f>100*(B34/B$22-1)</f>
        <v>10.700252899087094</v>
      </c>
      <c r="F34" s="210">
        <f t="shared" si="9"/>
        <v>10.700252899087094</v>
      </c>
      <c r="G34" s="211">
        <f t="shared" si="7"/>
        <v>22.360494737755499</v>
      </c>
      <c r="H34" s="209">
        <f>+B$211/B34</f>
        <v>2.5077104099395937</v>
      </c>
    </row>
    <row r="35" spans="1:8" ht="15" hidden="1">
      <c r="A35" s="230" t="s">
        <v>140</v>
      </c>
      <c r="B35" s="231">
        <f>+B34</f>
        <v>1974.1397499999998</v>
      </c>
      <c r="C35" s="207">
        <f t="shared" si="0"/>
        <v>122.3604947377555</v>
      </c>
      <c r="D35" s="207">
        <f t="shared" si="8"/>
        <v>0</v>
      </c>
      <c r="E35" s="207">
        <f t="shared" ref="E35:E40" si="10">100*(B35/B$34-1)</f>
        <v>0</v>
      </c>
      <c r="F35" s="210">
        <f t="shared" si="9"/>
        <v>10.700252899087094</v>
      </c>
      <c r="G35" s="211">
        <f t="shared" si="7"/>
        <v>22.360494737755499</v>
      </c>
      <c r="H35" s="209">
        <f>+B$211/B35</f>
        <v>2.5077104099395937</v>
      </c>
    </row>
    <row r="36" spans="1:8" ht="15" hidden="1">
      <c r="A36" s="230" t="s">
        <v>141</v>
      </c>
      <c r="B36" s="231">
        <f>B34</f>
        <v>1974.1397499999998</v>
      </c>
      <c r="C36" s="207">
        <f t="shared" si="0"/>
        <v>122.3604947377555</v>
      </c>
      <c r="D36" s="207">
        <f t="shared" si="8"/>
        <v>0</v>
      </c>
      <c r="E36" s="207">
        <f t="shared" si="10"/>
        <v>0</v>
      </c>
      <c r="F36" s="210">
        <f t="shared" si="9"/>
        <v>10.700252899087094</v>
      </c>
      <c r="G36" s="211">
        <f t="shared" si="7"/>
        <v>22.360494737755499</v>
      </c>
      <c r="H36" s="209">
        <f>+B$211/B36</f>
        <v>2.5077104099395937</v>
      </c>
    </row>
    <row r="37" spans="1:8" ht="15" hidden="1">
      <c r="A37" s="230" t="s">
        <v>142</v>
      </c>
      <c r="B37" s="231">
        <v>1974.14</v>
      </c>
      <c r="C37" s="207">
        <f t="shared" si="0"/>
        <v>122.36051023317506</v>
      </c>
      <c r="D37" s="207">
        <f t="shared" si="8"/>
        <v>1.2663743809149253E-5</v>
      </c>
      <c r="E37" s="207">
        <f t="shared" si="10"/>
        <v>1.2663743809149253E-5</v>
      </c>
      <c r="F37" s="210">
        <f t="shared" si="9"/>
        <v>10.700266917883505</v>
      </c>
      <c r="G37" s="211">
        <f t="shared" si="7"/>
        <v>21.449664099219934</v>
      </c>
      <c r="H37" s="209">
        <f>+B$211/B37</f>
        <v>2.5077100923696123</v>
      </c>
    </row>
    <row r="38" spans="1:8" ht="15" hidden="1">
      <c r="A38" s="230" t="s">
        <v>143</v>
      </c>
      <c r="B38" s="231">
        <v>1974.14</v>
      </c>
      <c r="C38" s="207">
        <f t="shared" si="0"/>
        <v>122.36051023317506</v>
      </c>
      <c r="D38" s="207">
        <f t="shared" si="8"/>
        <v>0</v>
      </c>
      <c r="E38" s="207">
        <f t="shared" si="10"/>
        <v>1.2663743809149253E-5</v>
      </c>
      <c r="F38" s="210">
        <f t="shared" si="9"/>
        <v>10.700266917883505</v>
      </c>
      <c r="G38" s="211">
        <f t="shared" ref="G38:G43" si="11">100*(B38/B14-1)</f>
        <v>21.449664099219934</v>
      </c>
      <c r="H38" s="209">
        <f>+B$211/B38</f>
        <v>2.5077100923696123</v>
      </c>
    </row>
    <row r="39" spans="1:8" ht="15" hidden="1">
      <c r="A39" s="230" t="s">
        <v>144</v>
      </c>
      <c r="B39" s="231">
        <f>4088.65/1.9918</f>
        <v>2052.7412390802288</v>
      </c>
      <c r="C39" s="207">
        <f t="shared" si="0"/>
        <v>127.23234694121835</v>
      </c>
      <c r="D39" s="207">
        <f t="shared" ref="D39:D44" si="12">100*(B39/B38-1)</f>
        <v>3.98154330899676</v>
      </c>
      <c r="E39" s="207">
        <f t="shared" si="10"/>
        <v>3.9815564769530187</v>
      </c>
      <c r="F39" s="210">
        <f t="shared" ref="F39:F44" si="13">(100*(B39/B27-1))</f>
        <v>6.5810953888768342</v>
      </c>
      <c r="G39" s="211">
        <f t="shared" si="11"/>
        <v>19.136931247075097</v>
      </c>
      <c r="H39" s="209">
        <f>+B$211/B39</f>
        <v>2.4116877020353269</v>
      </c>
    </row>
    <row r="40" spans="1:8" ht="15" hidden="1">
      <c r="A40" s="230" t="s">
        <v>145</v>
      </c>
      <c r="B40" s="231">
        <v>2052.7399999999998</v>
      </c>
      <c r="C40" s="207">
        <f t="shared" si="0"/>
        <v>127.23227014094631</v>
      </c>
      <c r="D40" s="207">
        <f t="shared" si="12"/>
        <v>-6.0362222253917963E-5</v>
      </c>
      <c r="E40" s="207">
        <f t="shared" si="10"/>
        <v>3.981493711374795</v>
      </c>
      <c r="F40" s="210">
        <f t="shared" si="13"/>
        <v>6.5810310541591477</v>
      </c>
      <c r="G40" s="211">
        <f t="shared" si="11"/>
        <v>19.136859333375877</v>
      </c>
      <c r="H40" s="209">
        <f>+B$211/B40</f>
        <v>2.4116891577844966</v>
      </c>
    </row>
    <row r="41" spans="1:8" ht="15" hidden="1">
      <c r="A41" s="230" t="s">
        <v>146</v>
      </c>
      <c r="B41" s="231">
        <v>2052.7399999999998</v>
      </c>
      <c r="C41" s="207">
        <f t="shared" si="0"/>
        <v>127.23227014094631</v>
      </c>
      <c r="D41" s="207">
        <f t="shared" si="12"/>
        <v>0</v>
      </c>
      <c r="E41" s="207">
        <f t="shared" ref="E41:E46" si="14">100*(B41/B$34-1)</f>
        <v>3.981493711374795</v>
      </c>
      <c r="F41" s="210">
        <f t="shared" si="13"/>
        <v>6.5810310541591477</v>
      </c>
      <c r="G41" s="211">
        <f t="shared" si="11"/>
        <v>19.136859333375877</v>
      </c>
      <c r="H41" s="209">
        <f>+B$211/B41</f>
        <v>2.4116891577844966</v>
      </c>
    </row>
    <row r="42" spans="1:8" ht="15" hidden="1">
      <c r="A42" s="230" t="s">
        <v>147</v>
      </c>
      <c r="B42" s="231">
        <v>2052.7399999999998</v>
      </c>
      <c r="C42" s="207">
        <f t="shared" si="0"/>
        <v>127.23227014094631</v>
      </c>
      <c r="D42" s="207">
        <f t="shared" si="12"/>
        <v>0</v>
      </c>
      <c r="E42" s="207">
        <f t="shared" si="14"/>
        <v>3.981493711374795</v>
      </c>
      <c r="F42" s="210">
        <f t="shared" si="13"/>
        <v>6.5810310541591477</v>
      </c>
      <c r="G42" s="211">
        <f t="shared" si="11"/>
        <v>16.800855775631995</v>
      </c>
      <c r="H42" s="209">
        <f>+B$211/B42</f>
        <v>2.4116891577844966</v>
      </c>
    </row>
    <row r="43" spans="1:8" ht="15" hidden="1">
      <c r="A43" s="230" t="s">
        <v>148</v>
      </c>
      <c r="B43" s="231">
        <v>2052.7399999999998</v>
      </c>
      <c r="C43" s="207">
        <f t="shared" si="0"/>
        <v>127.23227014094631</v>
      </c>
      <c r="D43" s="207">
        <f t="shared" si="12"/>
        <v>0</v>
      </c>
      <c r="E43" s="207">
        <f t="shared" si="14"/>
        <v>3.981493711374795</v>
      </c>
      <c r="F43" s="210">
        <f t="shared" si="13"/>
        <v>-7.320486888680211</v>
      </c>
      <c r="G43" s="211">
        <f t="shared" si="11"/>
        <v>16.800855775631995</v>
      </c>
      <c r="H43" s="209">
        <f>+B$211/B43</f>
        <v>2.4116891577844966</v>
      </c>
    </row>
    <row r="44" spans="1:8" ht="15" hidden="1">
      <c r="A44" s="230" t="s">
        <v>149</v>
      </c>
      <c r="B44" s="231">
        <v>2052.7399999999998</v>
      </c>
      <c r="C44" s="207">
        <f t="shared" si="0"/>
        <v>127.23227014094631</v>
      </c>
      <c r="D44" s="207">
        <f t="shared" si="12"/>
        <v>0</v>
      </c>
      <c r="E44" s="207">
        <f t="shared" si="14"/>
        <v>3.981493711374795</v>
      </c>
      <c r="F44" s="210">
        <f t="shared" si="13"/>
        <v>6.5810310541591477</v>
      </c>
      <c r="G44" s="211">
        <f t="shared" ref="G44:G49" si="15">100*(B44/B20-1)</f>
        <v>16.800855775631995</v>
      </c>
      <c r="H44" s="209">
        <f>+B$211/B44</f>
        <v>2.4116891577844966</v>
      </c>
    </row>
    <row r="45" spans="1:8" ht="15" hidden="1">
      <c r="A45" s="230" t="s">
        <v>150</v>
      </c>
      <c r="B45" s="231">
        <v>2052.7399999999998</v>
      </c>
      <c r="C45" s="207">
        <f t="shared" si="0"/>
        <v>127.23227014094631</v>
      </c>
      <c r="D45" s="207">
        <f t="shared" ref="D45:D50" si="16">100*(B45/B44-1)</f>
        <v>0</v>
      </c>
      <c r="E45" s="207">
        <f t="shared" si="14"/>
        <v>3.981493711374795</v>
      </c>
      <c r="F45" s="210">
        <f t="shared" ref="F45:F50" si="17">(100*(B45/B33-1))</f>
        <v>3.981493711374795</v>
      </c>
      <c r="G45" s="211">
        <f t="shared" si="15"/>
        <v>16.800855775631995</v>
      </c>
      <c r="H45" s="209">
        <f>+B$211/B45</f>
        <v>2.4116891577844966</v>
      </c>
    </row>
    <row r="46" spans="1:8" ht="15" hidden="1">
      <c r="A46" s="230" t="s">
        <v>151</v>
      </c>
      <c r="B46" s="231">
        <v>2052.7399999999998</v>
      </c>
      <c r="C46" s="207">
        <f t="shared" si="0"/>
        <v>127.23227014094631</v>
      </c>
      <c r="D46" s="207">
        <f t="shared" si="16"/>
        <v>0</v>
      </c>
      <c r="E46" s="207">
        <f t="shared" si="14"/>
        <v>3.981493711374795</v>
      </c>
      <c r="F46" s="210">
        <f t="shared" si="17"/>
        <v>3.981493711374795</v>
      </c>
      <c r="G46" s="211">
        <f t="shared" si="15"/>
        <v>15.107776506740223</v>
      </c>
      <c r="H46" s="209">
        <f>+B$211/B46</f>
        <v>2.4116891577844966</v>
      </c>
    </row>
    <row r="47" spans="1:8" ht="15" hidden="1">
      <c r="A47" s="230" t="s">
        <v>152</v>
      </c>
      <c r="B47" s="231">
        <v>2052.7399999999998</v>
      </c>
      <c r="C47" s="207">
        <f t="shared" si="0"/>
        <v>127.23227014094631</v>
      </c>
      <c r="D47" s="207">
        <f t="shared" si="16"/>
        <v>0</v>
      </c>
      <c r="E47" s="207">
        <f t="shared" ref="E47:E52" si="18">100*(B47/B$46-1)</f>
        <v>0</v>
      </c>
      <c r="F47" s="210">
        <f t="shared" si="17"/>
        <v>3.981493711374795</v>
      </c>
      <c r="G47" s="211">
        <f t="shared" si="15"/>
        <v>15.107776506740223</v>
      </c>
      <c r="H47" s="209">
        <f>+B$211/B47</f>
        <v>2.4116891577844966</v>
      </c>
    </row>
    <row r="48" spans="1:8" ht="15" hidden="1">
      <c r="A48" s="230" t="s">
        <v>153</v>
      </c>
      <c r="B48" s="231">
        <v>2052.7399999999998</v>
      </c>
      <c r="C48" s="207">
        <f t="shared" si="0"/>
        <v>127.23227014094631</v>
      </c>
      <c r="D48" s="207">
        <f t="shared" si="16"/>
        <v>0</v>
      </c>
      <c r="E48" s="207">
        <f t="shared" si="18"/>
        <v>0</v>
      </c>
      <c r="F48" s="210">
        <f t="shared" si="17"/>
        <v>3.981493711374795</v>
      </c>
      <c r="G48" s="211">
        <f t="shared" si="15"/>
        <v>15.107776506740223</v>
      </c>
      <c r="H48" s="209">
        <f>+B$211/B48</f>
        <v>2.4116891577844966</v>
      </c>
    </row>
    <row r="49" spans="1:9" ht="15" hidden="1">
      <c r="A49" s="230" t="s">
        <v>154</v>
      </c>
      <c r="B49" s="231">
        <v>2052.7399999999998</v>
      </c>
      <c r="C49" s="207">
        <f t="shared" si="0"/>
        <v>127.23227014094631</v>
      </c>
      <c r="D49" s="212">
        <f t="shared" si="16"/>
        <v>0</v>
      </c>
      <c r="E49" s="212">
        <f t="shared" si="18"/>
        <v>0</v>
      </c>
      <c r="F49" s="213">
        <f t="shared" si="17"/>
        <v>3.9814805434264855</v>
      </c>
      <c r="G49" s="211">
        <f t="shared" si="15"/>
        <v>15.107776506740223</v>
      </c>
      <c r="H49" s="209">
        <f>+B$211/B49</f>
        <v>2.4116891577844966</v>
      </c>
    </row>
    <row r="50" spans="1:9" ht="15" hidden="1">
      <c r="A50" s="230" t="s">
        <v>155</v>
      </c>
      <c r="B50" s="231">
        <f>+B49</f>
        <v>2052.7399999999998</v>
      </c>
      <c r="C50" s="207">
        <f t="shared" si="0"/>
        <v>127.23227014094631</v>
      </c>
      <c r="D50" s="212">
        <f t="shared" si="16"/>
        <v>0</v>
      </c>
      <c r="E50" s="212">
        <f t="shared" si="18"/>
        <v>0</v>
      </c>
      <c r="F50" s="213">
        <f t="shared" si="17"/>
        <v>3.9814805434264855</v>
      </c>
      <c r="G50" s="211">
        <f t="shared" ref="G50:G77" si="19">100*(B50/B26-1)</f>
        <v>15.107776506740223</v>
      </c>
      <c r="H50" s="209">
        <f>+B$211/B50</f>
        <v>2.4116891577844966</v>
      </c>
    </row>
    <row r="51" spans="1:9" ht="15" hidden="1">
      <c r="A51" s="230" t="s">
        <v>156</v>
      </c>
      <c r="B51" s="231">
        <v>2164.5</v>
      </c>
      <c r="C51" s="207">
        <f t="shared" si="0"/>
        <v>134.15934249835749</v>
      </c>
      <c r="D51" s="212">
        <f>100*(B51/B50-1)</f>
        <v>5.4444303711137509</v>
      </c>
      <c r="E51" s="212">
        <f t="shared" si="18"/>
        <v>5.4444303711137509</v>
      </c>
      <c r="F51" s="213">
        <f t="shared" ref="F51:F65" si="20">(100*(B51/B39-1))</f>
        <v>5.4443667225123393</v>
      </c>
      <c r="G51" s="211">
        <f t="shared" si="19"/>
        <v>12.383761078717948</v>
      </c>
      <c r="H51" s="209">
        <f>+B$211/B51</f>
        <v>2.2871659975747503</v>
      </c>
    </row>
    <row r="52" spans="1:9" ht="15" hidden="1">
      <c r="A52" s="230" t="s">
        <v>157</v>
      </c>
      <c r="B52" s="231">
        <f>B51</f>
        <v>2164.5</v>
      </c>
      <c r="C52" s="207">
        <f t="shared" si="0"/>
        <v>134.15934249835749</v>
      </c>
      <c r="D52" s="212">
        <f>100*(B52/B51-1)</f>
        <v>0</v>
      </c>
      <c r="E52" s="212">
        <f t="shared" si="18"/>
        <v>5.4444303711137509</v>
      </c>
      <c r="F52" s="213">
        <f t="shared" si="20"/>
        <v>5.4444303711137509</v>
      </c>
      <c r="G52" s="211">
        <f t="shared" si="19"/>
        <v>12.383761078717948</v>
      </c>
      <c r="H52" s="209">
        <f>+B$211/B52</f>
        <v>2.2871659975747503</v>
      </c>
    </row>
    <row r="53" spans="1:9" ht="15" hidden="1">
      <c r="A53" s="230" t="s">
        <v>158</v>
      </c>
      <c r="B53" s="231">
        <f>B52</f>
        <v>2164.5</v>
      </c>
      <c r="C53" s="207">
        <f t="shared" si="0"/>
        <v>134.15934249835749</v>
      </c>
      <c r="D53" s="212">
        <f>100*(B53/B52-1)</f>
        <v>0</v>
      </c>
      <c r="E53" s="212">
        <f t="shared" ref="E53:E58" si="21">100*(B53/B$46-1)</f>
        <v>5.4444303711137509</v>
      </c>
      <c r="F53" s="213">
        <f t="shared" si="20"/>
        <v>5.4444303711137509</v>
      </c>
      <c r="G53" s="211">
        <f t="shared" si="19"/>
        <v>12.383761078717948</v>
      </c>
      <c r="H53" s="209">
        <f>+B$211/B53</f>
        <v>2.2871659975747503</v>
      </c>
      <c r="I53" s="122"/>
    </row>
    <row r="54" spans="1:9" ht="15" hidden="1">
      <c r="A54" s="230" t="s">
        <v>159</v>
      </c>
      <c r="B54" s="231">
        <f t="shared" ref="B54:B59" si="22">B53</f>
        <v>2164.5</v>
      </c>
      <c r="C54" s="207">
        <f t="shared" si="0"/>
        <v>134.15934249835749</v>
      </c>
      <c r="D54" s="212">
        <f t="shared" ref="D54:D59" si="23">100*(B54/B53-1)</f>
        <v>0</v>
      </c>
      <c r="E54" s="212">
        <f t="shared" si="21"/>
        <v>5.4444303711137509</v>
      </c>
      <c r="F54" s="213">
        <f t="shared" si="20"/>
        <v>5.4444303711137509</v>
      </c>
      <c r="G54" s="211">
        <f t="shared" si="19"/>
        <v>12.383761078717948</v>
      </c>
      <c r="H54" s="209">
        <f>+B$211/B54</f>
        <v>2.2871659975747503</v>
      </c>
    </row>
    <row r="55" spans="1:9" ht="15" hidden="1">
      <c r="A55" s="230" t="s">
        <v>160</v>
      </c>
      <c r="B55" s="231">
        <f t="shared" si="22"/>
        <v>2164.5</v>
      </c>
      <c r="C55" s="207">
        <f t="shared" si="0"/>
        <v>134.15934249835749</v>
      </c>
      <c r="D55" s="212">
        <f t="shared" si="23"/>
        <v>0</v>
      </c>
      <c r="E55" s="212">
        <f t="shared" si="21"/>
        <v>5.4444303711137509</v>
      </c>
      <c r="F55" s="213">
        <f t="shared" si="20"/>
        <v>5.4444303711137509</v>
      </c>
      <c r="G55" s="211">
        <f t="shared" si="19"/>
        <v>-2.2746153290471804</v>
      </c>
      <c r="H55" s="209">
        <f>+B$211/B55</f>
        <v>2.2871659975747503</v>
      </c>
    </row>
    <row r="56" spans="1:9" ht="15.75" hidden="1" customHeight="1">
      <c r="A56" s="230" t="s">
        <v>161</v>
      </c>
      <c r="B56" s="231">
        <f t="shared" si="22"/>
        <v>2164.5</v>
      </c>
      <c r="C56" s="207">
        <f t="shared" si="0"/>
        <v>134.15934249835749</v>
      </c>
      <c r="D56" s="212">
        <f t="shared" si="23"/>
        <v>0</v>
      </c>
      <c r="E56" s="212">
        <f t="shared" si="21"/>
        <v>5.4444303711137509</v>
      </c>
      <c r="F56" s="213">
        <f t="shared" si="20"/>
        <v>5.4444303711137509</v>
      </c>
      <c r="G56" s="211">
        <f t="shared" si="19"/>
        <v>12.383761078717948</v>
      </c>
      <c r="H56" s="209">
        <f>+B$211/B56</f>
        <v>2.2871659975747503</v>
      </c>
    </row>
    <row r="57" spans="1:9" ht="15.75" hidden="1" customHeight="1">
      <c r="A57" s="230" t="s">
        <v>162</v>
      </c>
      <c r="B57" s="231">
        <f t="shared" si="22"/>
        <v>2164.5</v>
      </c>
      <c r="C57" s="207">
        <f t="shared" si="0"/>
        <v>134.15934249835749</v>
      </c>
      <c r="D57" s="212">
        <f t="shared" si="23"/>
        <v>0</v>
      </c>
      <c r="E57" s="212">
        <f t="shared" si="21"/>
        <v>5.4444303711137509</v>
      </c>
      <c r="F57" s="213">
        <f t="shared" si="20"/>
        <v>5.4444303711137509</v>
      </c>
      <c r="G57" s="211">
        <f t="shared" si="19"/>
        <v>9.6426937353345963</v>
      </c>
      <c r="H57" s="209">
        <f>+B$211/B57</f>
        <v>2.2871659975747503</v>
      </c>
    </row>
    <row r="58" spans="1:9" ht="15.75" hidden="1" customHeight="1">
      <c r="A58" s="230" t="s">
        <v>163</v>
      </c>
      <c r="B58" s="231">
        <f t="shared" si="22"/>
        <v>2164.5</v>
      </c>
      <c r="C58" s="207">
        <f t="shared" si="0"/>
        <v>134.15934249835749</v>
      </c>
      <c r="D58" s="212">
        <f t="shared" si="23"/>
        <v>0</v>
      </c>
      <c r="E58" s="212">
        <f t="shared" si="21"/>
        <v>5.4444303711137509</v>
      </c>
      <c r="F58" s="213">
        <f t="shared" si="20"/>
        <v>5.4444303711137509</v>
      </c>
      <c r="G58" s="211">
        <f t="shared" si="19"/>
        <v>9.6426937353345963</v>
      </c>
      <c r="H58" s="209">
        <f>+B$211/B58</f>
        <v>2.2871659975747503</v>
      </c>
    </row>
    <row r="59" spans="1:9" ht="15.75" hidden="1" customHeight="1">
      <c r="A59" s="230" t="s">
        <v>164</v>
      </c>
      <c r="B59" s="231">
        <f t="shared" si="22"/>
        <v>2164.5</v>
      </c>
      <c r="C59" s="207">
        <f t="shared" si="0"/>
        <v>134.15934249835749</v>
      </c>
      <c r="D59" s="212">
        <f t="shared" si="23"/>
        <v>0</v>
      </c>
      <c r="E59" s="212">
        <f t="shared" ref="E59:E64" si="24">100*(B59/B$58-1)</f>
        <v>0</v>
      </c>
      <c r="F59" s="213">
        <f t="shared" si="20"/>
        <v>5.4444303711137509</v>
      </c>
      <c r="G59" s="211">
        <f t="shared" si="19"/>
        <v>9.6426937353345963</v>
      </c>
      <c r="H59" s="209">
        <f>+B$211/B59</f>
        <v>2.2871659975747503</v>
      </c>
    </row>
    <row r="60" spans="1:9" ht="15.75" hidden="1" customHeight="1">
      <c r="A60" s="230" t="s">
        <v>165</v>
      </c>
      <c r="B60" s="231">
        <f>B59</f>
        <v>2164.5</v>
      </c>
      <c r="C60" s="207">
        <f t="shared" si="0"/>
        <v>134.15934249835749</v>
      </c>
      <c r="D60" s="212">
        <f t="shared" ref="D60:D65" si="25">100*(B60/B59-1)</f>
        <v>0</v>
      </c>
      <c r="E60" s="212">
        <f t="shared" si="24"/>
        <v>0</v>
      </c>
      <c r="F60" s="213">
        <f t="shared" si="20"/>
        <v>5.4444303711137509</v>
      </c>
      <c r="G60" s="211">
        <f t="shared" si="19"/>
        <v>9.6426937353345963</v>
      </c>
      <c r="H60" s="209">
        <f>+B$211/B60</f>
        <v>2.2871659975747503</v>
      </c>
      <c r="I60" s="122"/>
    </row>
    <row r="61" spans="1:9" ht="15.75" hidden="1" customHeight="1">
      <c r="A61" s="230" t="s">
        <v>166</v>
      </c>
      <c r="B61" s="231">
        <f>B60</f>
        <v>2164.5</v>
      </c>
      <c r="C61" s="207">
        <f t="shared" si="0"/>
        <v>134.15934249835749</v>
      </c>
      <c r="D61" s="212">
        <f t="shared" si="25"/>
        <v>0</v>
      </c>
      <c r="E61" s="212">
        <f t="shared" si="24"/>
        <v>0</v>
      </c>
      <c r="F61" s="213">
        <f t="shared" si="20"/>
        <v>5.4444303711137509</v>
      </c>
      <c r="G61" s="211">
        <f t="shared" si="19"/>
        <v>9.6426798504665179</v>
      </c>
      <c r="H61" s="209">
        <f>+B$211/B61</f>
        <v>2.2871659975747503</v>
      </c>
    </row>
    <row r="62" spans="1:9" ht="15.75" hidden="1" customHeight="1">
      <c r="A62" s="230" t="s">
        <v>167</v>
      </c>
      <c r="B62" s="231">
        <f>B61</f>
        <v>2164.5</v>
      </c>
      <c r="C62" s="207">
        <f t="shared" si="0"/>
        <v>134.15934249835749</v>
      </c>
      <c r="D62" s="212">
        <f t="shared" si="25"/>
        <v>0</v>
      </c>
      <c r="E62" s="212">
        <f t="shared" si="24"/>
        <v>0</v>
      </c>
      <c r="F62" s="213">
        <f t="shared" si="20"/>
        <v>5.4444303711137509</v>
      </c>
      <c r="G62" s="211">
        <f t="shared" si="19"/>
        <v>9.6426798504665179</v>
      </c>
      <c r="H62" s="209">
        <f>+B$211/B62</f>
        <v>2.2871659975747503</v>
      </c>
    </row>
    <row r="63" spans="1:9" ht="15.75" hidden="1" customHeight="1">
      <c r="A63" s="230" t="s">
        <v>168</v>
      </c>
      <c r="B63" s="231">
        <v>2329.44</v>
      </c>
      <c r="C63" s="207">
        <f t="shared" si="0"/>
        <v>144.38260050329123</v>
      </c>
      <c r="D63" s="212">
        <f t="shared" si="25"/>
        <v>7.6202356202356158</v>
      </c>
      <c r="E63" s="212">
        <f t="shared" si="24"/>
        <v>7.6202356202356158</v>
      </c>
      <c r="F63" s="213">
        <f t="shared" si="20"/>
        <v>7.6202356202356158</v>
      </c>
      <c r="G63" s="211">
        <f t="shared" si="19"/>
        <v>13.47947591503309</v>
      </c>
      <c r="H63" s="209">
        <f>+B$211/B63</f>
        <v>2.1252192809218293</v>
      </c>
    </row>
    <row r="64" spans="1:9" ht="15.75" hidden="1" customHeight="1">
      <c r="A64" s="230" t="s">
        <v>169</v>
      </c>
      <c r="B64" s="231">
        <f t="shared" ref="B64:B69" si="26">B63</f>
        <v>2329.44</v>
      </c>
      <c r="C64" s="207">
        <f t="shared" si="0"/>
        <v>144.38260050329123</v>
      </c>
      <c r="D64" s="212">
        <f t="shared" si="25"/>
        <v>0</v>
      </c>
      <c r="E64" s="212">
        <f t="shared" si="24"/>
        <v>7.6202356202356158</v>
      </c>
      <c r="F64" s="213">
        <f t="shared" si="20"/>
        <v>7.6202356202356158</v>
      </c>
      <c r="G64" s="211">
        <f t="shared" si="19"/>
        <v>13.479544413807897</v>
      </c>
      <c r="H64" s="209">
        <f>+B$211/B64</f>
        <v>2.1252192809218293</v>
      </c>
    </row>
    <row r="65" spans="1:9" ht="15.75" hidden="1" customHeight="1">
      <c r="A65" s="230" t="s">
        <v>170</v>
      </c>
      <c r="B65" s="231">
        <f t="shared" si="26"/>
        <v>2329.44</v>
      </c>
      <c r="C65" s="207">
        <f t="shared" si="0"/>
        <v>144.38260050329123</v>
      </c>
      <c r="D65" s="212">
        <f t="shared" si="25"/>
        <v>0</v>
      </c>
      <c r="E65" s="212">
        <f t="shared" ref="E65:E70" si="27">100*(B65/B$58-1)</f>
        <v>7.6202356202356158</v>
      </c>
      <c r="F65" s="213">
        <f t="shared" si="20"/>
        <v>7.6202356202356158</v>
      </c>
      <c r="G65" s="211">
        <f t="shared" si="19"/>
        <v>13.479544413807897</v>
      </c>
      <c r="H65" s="209">
        <f>+B$211/B65</f>
        <v>2.1252192809218293</v>
      </c>
    </row>
    <row r="66" spans="1:9" ht="15.75" hidden="1" customHeight="1">
      <c r="A66" s="230" t="s">
        <v>171</v>
      </c>
      <c r="B66" s="231">
        <f t="shared" si="26"/>
        <v>2329.44</v>
      </c>
      <c r="C66" s="207">
        <f t="shared" si="0"/>
        <v>144.38260050329123</v>
      </c>
      <c r="D66" s="212">
        <f t="shared" ref="D66:D71" si="28">100*(B66/B65-1)</f>
        <v>0</v>
      </c>
      <c r="E66" s="212">
        <f t="shared" si="27"/>
        <v>7.6202356202356158</v>
      </c>
      <c r="F66" s="213">
        <f t="shared" ref="F66:F129" si="29">(100*(B66/B54-1))</f>
        <v>7.6202356202356158</v>
      </c>
      <c r="G66" s="211">
        <f t="shared" si="19"/>
        <v>13.479544413807897</v>
      </c>
      <c r="H66" s="209">
        <f>+B$211/B66</f>
        <v>2.1252192809218293</v>
      </c>
    </row>
    <row r="67" spans="1:9" ht="15.75" hidden="1" customHeight="1">
      <c r="A67" s="230" t="s">
        <v>172</v>
      </c>
      <c r="B67" s="231">
        <f t="shared" si="26"/>
        <v>2329.44</v>
      </c>
      <c r="C67" s="207">
        <f t="shared" si="0"/>
        <v>144.38260050329123</v>
      </c>
      <c r="D67" s="212">
        <f t="shared" si="28"/>
        <v>0</v>
      </c>
      <c r="E67" s="212">
        <f t="shared" si="27"/>
        <v>7.6202356202356158</v>
      </c>
      <c r="F67" s="213">
        <f t="shared" si="29"/>
        <v>7.6202356202356158</v>
      </c>
      <c r="G67" s="211">
        <f t="shared" si="19"/>
        <v>13.479544413807897</v>
      </c>
      <c r="H67" s="209">
        <f>+B$211/B67</f>
        <v>2.1252192809218293</v>
      </c>
    </row>
    <row r="68" spans="1:9" ht="15.75" hidden="1" customHeight="1">
      <c r="A68" s="230" t="s">
        <v>173</v>
      </c>
      <c r="B68" s="231">
        <f t="shared" si="26"/>
        <v>2329.44</v>
      </c>
      <c r="C68" s="207">
        <f t="shared" si="0"/>
        <v>144.38260050329123</v>
      </c>
      <c r="D68" s="212">
        <f t="shared" si="28"/>
        <v>0</v>
      </c>
      <c r="E68" s="212">
        <f t="shared" si="27"/>
        <v>7.6202356202356158</v>
      </c>
      <c r="F68" s="213">
        <f t="shared" si="29"/>
        <v>7.6202356202356158</v>
      </c>
      <c r="G68" s="211">
        <f t="shared" si="19"/>
        <v>13.479544413807897</v>
      </c>
      <c r="H68" s="209">
        <f>+B$211/B68</f>
        <v>2.1252192809218293</v>
      </c>
    </row>
    <row r="69" spans="1:9" ht="15.75" hidden="1" customHeight="1">
      <c r="A69" s="230" t="s">
        <v>174</v>
      </c>
      <c r="B69" s="231">
        <f t="shared" si="26"/>
        <v>2329.44</v>
      </c>
      <c r="C69" s="207">
        <f t="shared" si="0"/>
        <v>144.38260050329123</v>
      </c>
      <c r="D69" s="212">
        <f t="shared" si="28"/>
        <v>0</v>
      </c>
      <c r="E69" s="212">
        <f t="shared" si="27"/>
        <v>7.6202356202356158</v>
      </c>
      <c r="F69" s="213">
        <f t="shared" si="29"/>
        <v>7.6202356202356158</v>
      </c>
      <c r="G69" s="211">
        <f t="shared" si="19"/>
        <v>13.479544413807897</v>
      </c>
      <c r="H69" s="209">
        <f>+B$211/B69</f>
        <v>2.1252192809218293</v>
      </c>
    </row>
    <row r="70" spans="1:9" ht="15.75" hidden="1" customHeight="1">
      <c r="A70" s="230" t="s">
        <v>175</v>
      </c>
      <c r="B70" s="231">
        <f>B69</f>
        <v>2329.44</v>
      </c>
      <c r="C70" s="207">
        <f t="shared" si="0"/>
        <v>144.38260050329123</v>
      </c>
      <c r="D70" s="212">
        <f t="shared" si="28"/>
        <v>0</v>
      </c>
      <c r="E70" s="212">
        <f t="shared" si="27"/>
        <v>7.6202356202356158</v>
      </c>
      <c r="F70" s="213">
        <f t="shared" si="29"/>
        <v>7.6202356202356158</v>
      </c>
      <c r="G70" s="211">
        <f t="shared" si="19"/>
        <v>13.479544413807897</v>
      </c>
      <c r="H70" s="209">
        <f>+B$211/B70</f>
        <v>2.1252192809218293</v>
      </c>
    </row>
    <row r="71" spans="1:9" ht="15.75" hidden="1" customHeight="1">
      <c r="A71" s="230" t="s">
        <v>176</v>
      </c>
      <c r="B71" s="231">
        <f>B70</f>
        <v>2329.44</v>
      </c>
      <c r="C71" s="207">
        <f t="shared" si="0"/>
        <v>144.38260050329123</v>
      </c>
      <c r="D71" s="212">
        <f t="shared" si="28"/>
        <v>0</v>
      </c>
      <c r="E71" s="212">
        <f t="shared" ref="E71:E76" si="30">100*(B71/B$70-1)</f>
        <v>0</v>
      </c>
      <c r="F71" s="213">
        <f t="shared" si="29"/>
        <v>7.6202356202356158</v>
      </c>
      <c r="G71" s="211">
        <f t="shared" si="19"/>
        <v>13.479544413807897</v>
      </c>
      <c r="H71" s="209">
        <f>+B$211/B71</f>
        <v>2.1252192809218293</v>
      </c>
    </row>
    <row r="72" spans="1:9" ht="15.75" hidden="1" customHeight="1">
      <c r="A72" s="230" t="s">
        <v>177</v>
      </c>
      <c r="B72" s="231">
        <f>B71</f>
        <v>2329.44</v>
      </c>
      <c r="C72" s="207">
        <f t="shared" si="0"/>
        <v>144.38260050329123</v>
      </c>
      <c r="D72" s="212">
        <f t="shared" ref="D72:D77" si="31">100*(B72/B71-1)</f>
        <v>0</v>
      </c>
      <c r="E72" s="212">
        <f t="shared" si="30"/>
        <v>0</v>
      </c>
      <c r="F72" s="213">
        <f t="shared" si="29"/>
        <v>7.6202356202356158</v>
      </c>
      <c r="G72" s="211">
        <f t="shared" si="19"/>
        <v>13.479544413807897</v>
      </c>
      <c r="H72" s="209">
        <f>+B$211/B72</f>
        <v>2.1252192809218293</v>
      </c>
    </row>
    <row r="73" spans="1:9" ht="15.75" hidden="1" customHeight="1">
      <c r="A73" s="230" t="s">
        <v>178</v>
      </c>
      <c r="B73" s="231">
        <f>B72</f>
        <v>2329.44</v>
      </c>
      <c r="C73" s="207">
        <f t="shared" si="0"/>
        <v>144.38260050329123</v>
      </c>
      <c r="D73" s="212">
        <f t="shared" si="31"/>
        <v>0</v>
      </c>
      <c r="E73" s="212">
        <f t="shared" si="30"/>
        <v>0</v>
      </c>
      <c r="F73" s="213">
        <f t="shared" si="29"/>
        <v>7.6202356202356158</v>
      </c>
      <c r="G73" s="211">
        <f t="shared" si="19"/>
        <v>13.479544413807897</v>
      </c>
      <c r="H73" s="209">
        <f>+B$211/B73</f>
        <v>2.1252192809218293</v>
      </c>
    </row>
    <row r="74" spans="1:9" ht="15.75" hidden="1" customHeight="1">
      <c r="A74" s="230" t="s">
        <v>179</v>
      </c>
      <c r="B74" s="231">
        <f>B73</f>
        <v>2329.44</v>
      </c>
      <c r="C74" s="207">
        <f t="shared" si="0"/>
        <v>144.38260050329123</v>
      </c>
      <c r="D74" s="212">
        <f t="shared" si="31"/>
        <v>0</v>
      </c>
      <c r="E74" s="212">
        <f t="shared" si="30"/>
        <v>0</v>
      </c>
      <c r="F74" s="213">
        <f t="shared" si="29"/>
        <v>7.6202356202356158</v>
      </c>
      <c r="G74" s="211">
        <f t="shared" si="19"/>
        <v>13.479544413807897</v>
      </c>
      <c r="H74" s="209">
        <f>+B$211/B74</f>
        <v>2.1252192809218293</v>
      </c>
    </row>
    <row r="75" spans="1:9" ht="15.75" hidden="1" customHeight="1">
      <c r="A75" s="230" t="s">
        <v>180</v>
      </c>
      <c r="B75" s="231">
        <f>B74*1.07</f>
        <v>2492.5008000000003</v>
      </c>
      <c r="C75" s="207">
        <f t="shared" si="0"/>
        <v>154.48938253852162</v>
      </c>
      <c r="D75" s="212">
        <f t="shared" si="31"/>
        <v>7.0000000000000062</v>
      </c>
      <c r="E75" s="212">
        <f t="shared" si="30"/>
        <v>7.0000000000000062</v>
      </c>
      <c r="F75" s="213">
        <f t="shared" si="29"/>
        <v>7.0000000000000062</v>
      </c>
      <c r="G75" s="211">
        <f t="shared" si="19"/>
        <v>15.153652113652116</v>
      </c>
      <c r="H75" s="209">
        <f>+B$211/B75</f>
        <v>1.9861862438521769</v>
      </c>
      <c r="I75" s="125" t="s">
        <v>23</v>
      </c>
    </row>
    <row r="76" spans="1:9" ht="15.75" hidden="1" customHeight="1">
      <c r="A76" s="230" t="s">
        <v>181</v>
      </c>
      <c r="B76" s="231">
        <f t="shared" ref="B76:B81" si="32">B75</f>
        <v>2492.5008000000003</v>
      </c>
      <c r="C76" s="207">
        <f t="shared" si="0"/>
        <v>154.48938253852162</v>
      </c>
      <c r="D76" s="212">
        <f t="shared" si="31"/>
        <v>0</v>
      </c>
      <c r="E76" s="212">
        <f t="shared" si="30"/>
        <v>7.0000000000000062</v>
      </c>
      <c r="F76" s="213">
        <f t="shared" si="29"/>
        <v>7.0000000000000062</v>
      </c>
      <c r="G76" s="211">
        <f t="shared" si="19"/>
        <v>15.153652113652116</v>
      </c>
      <c r="H76" s="209">
        <f>+B$211/B76</f>
        <v>1.9861862438521769</v>
      </c>
    </row>
    <row r="77" spans="1:9" ht="15.75" hidden="1" customHeight="1">
      <c r="A77" s="230" t="s">
        <v>182</v>
      </c>
      <c r="B77" s="231">
        <f t="shared" si="32"/>
        <v>2492.5008000000003</v>
      </c>
      <c r="C77" s="207">
        <f t="shared" si="0"/>
        <v>154.48938253852162</v>
      </c>
      <c r="D77" s="212">
        <f t="shared" si="31"/>
        <v>0</v>
      </c>
      <c r="E77" s="212">
        <f t="shared" ref="E77:E82" si="33">100*(B77/B$70-1)</f>
        <v>7.0000000000000062</v>
      </c>
      <c r="F77" s="213">
        <f t="shared" si="29"/>
        <v>7.0000000000000062</v>
      </c>
      <c r="G77" s="211">
        <f t="shared" si="19"/>
        <v>15.153652113652116</v>
      </c>
      <c r="H77" s="209">
        <f>+B$211/B77</f>
        <v>1.9861862438521769</v>
      </c>
    </row>
    <row r="78" spans="1:9" ht="15.75" hidden="1" customHeight="1">
      <c r="A78" s="230" t="s">
        <v>183</v>
      </c>
      <c r="B78" s="231">
        <f t="shared" si="32"/>
        <v>2492.5008000000003</v>
      </c>
      <c r="C78" s="207">
        <f t="shared" si="0"/>
        <v>154.48938253852162</v>
      </c>
      <c r="D78" s="212">
        <f t="shared" ref="D78:D83" si="34">100*(B78/B77-1)</f>
        <v>0</v>
      </c>
      <c r="E78" s="212">
        <f t="shared" si="33"/>
        <v>7.0000000000000062</v>
      </c>
      <c r="F78" s="213">
        <f t="shared" si="29"/>
        <v>7.0000000000000062</v>
      </c>
      <c r="G78" s="211">
        <f t="shared" ref="G78:G100" si="35">100*(B78/B54-1)</f>
        <v>15.153652113652116</v>
      </c>
      <c r="H78" s="209">
        <f>+B$211/B78</f>
        <v>1.9861862438521769</v>
      </c>
    </row>
    <row r="79" spans="1:9" ht="15.75" hidden="1" customHeight="1">
      <c r="A79" s="230" t="s">
        <v>184</v>
      </c>
      <c r="B79" s="231">
        <f t="shared" si="32"/>
        <v>2492.5008000000003</v>
      </c>
      <c r="C79" s="207">
        <f t="shared" si="0"/>
        <v>154.48938253852162</v>
      </c>
      <c r="D79" s="212">
        <f t="shared" si="34"/>
        <v>0</v>
      </c>
      <c r="E79" s="212">
        <f t="shared" si="33"/>
        <v>7.0000000000000062</v>
      </c>
      <c r="F79" s="213">
        <f t="shared" si="29"/>
        <v>7.0000000000000062</v>
      </c>
      <c r="G79" s="211">
        <f t="shared" si="35"/>
        <v>15.153652113652116</v>
      </c>
      <c r="H79" s="209">
        <f>+B$211/B79</f>
        <v>1.9861862438521769</v>
      </c>
    </row>
    <row r="80" spans="1:9" ht="15.75" hidden="1" customHeight="1">
      <c r="A80" s="230" t="s">
        <v>185</v>
      </c>
      <c r="B80" s="231">
        <f t="shared" si="32"/>
        <v>2492.5008000000003</v>
      </c>
      <c r="C80" s="207">
        <f t="shared" si="0"/>
        <v>154.48938253852162</v>
      </c>
      <c r="D80" s="212">
        <f t="shared" si="34"/>
        <v>0</v>
      </c>
      <c r="E80" s="212">
        <f t="shared" si="33"/>
        <v>7.0000000000000062</v>
      </c>
      <c r="F80" s="213">
        <f t="shared" si="29"/>
        <v>7.0000000000000062</v>
      </c>
      <c r="G80" s="211">
        <f t="shared" si="35"/>
        <v>15.153652113652116</v>
      </c>
      <c r="H80" s="209">
        <f>+B$211/B80</f>
        <v>1.9861862438521769</v>
      </c>
    </row>
    <row r="81" spans="1:9" ht="15.75" hidden="1" customHeight="1">
      <c r="A81" s="230" t="s">
        <v>186</v>
      </c>
      <c r="B81" s="231">
        <f t="shared" si="32"/>
        <v>2492.5008000000003</v>
      </c>
      <c r="C81" s="207">
        <f t="shared" si="0"/>
        <v>154.48938253852162</v>
      </c>
      <c r="D81" s="212">
        <f t="shared" si="34"/>
        <v>0</v>
      </c>
      <c r="E81" s="212">
        <f t="shared" si="33"/>
        <v>7.0000000000000062</v>
      </c>
      <c r="F81" s="213">
        <f t="shared" si="29"/>
        <v>7.0000000000000062</v>
      </c>
      <c r="G81" s="211">
        <f t="shared" si="35"/>
        <v>15.153652113652116</v>
      </c>
      <c r="H81" s="209">
        <f>+B$211/B81</f>
        <v>1.9861862438521769</v>
      </c>
    </row>
    <row r="82" spans="1:9" ht="15.75" hidden="1" customHeight="1">
      <c r="A82" s="230" t="s">
        <v>187</v>
      </c>
      <c r="B82" s="231">
        <f>B81</f>
        <v>2492.5008000000003</v>
      </c>
      <c r="C82" s="207">
        <f t="shared" si="0"/>
        <v>154.48938253852162</v>
      </c>
      <c r="D82" s="212">
        <f t="shared" si="34"/>
        <v>0</v>
      </c>
      <c r="E82" s="212">
        <f t="shared" si="33"/>
        <v>7.0000000000000062</v>
      </c>
      <c r="F82" s="213">
        <f t="shared" si="29"/>
        <v>7.0000000000000062</v>
      </c>
      <c r="G82" s="211">
        <f t="shared" si="35"/>
        <v>15.153652113652116</v>
      </c>
      <c r="H82" s="209">
        <f>+B$211/B82</f>
        <v>1.9861862438521769</v>
      </c>
    </row>
    <row r="83" spans="1:9" ht="15.75" hidden="1" customHeight="1">
      <c r="A83" s="230" t="s">
        <v>188</v>
      </c>
      <c r="B83" s="231">
        <f>B82</f>
        <v>2492.5008000000003</v>
      </c>
      <c r="C83" s="207">
        <f t="shared" si="0"/>
        <v>154.48938253852162</v>
      </c>
      <c r="D83" s="212">
        <f t="shared" si="34"/>
        <v>0</v>
      </c>
      <c r="E83" s="212">
        <f t="shared" ref="E83:E88" si="36">100*(B83/B$82-1)</f>
        <v>0</v>
      </c>
      <c r="F83" s="213">
        <f t="shared" si="29"/>
        <v>7.0000000000000062</v>
      </c>
      <c r="G83" s="211">
        <f t="shared" si="35"/>
        <v>15.153652113652116</v>
      </c>
      <c r="H83" s="209">
        <f>+B$211/B83</f>
        <v>1.9861862438521769</v>
      </c>
    </row>
    <row r="84" spans="1:9" ht="15.75" hidden="1" customHeight="1">
      <c r="A84" s="230" t="s">
        <v>189</v>
      </c>
      <c r="B84" s="231">
        <f>B83</f>
        <v>2492.5008000000003</v>
      </c>
      <c r="C84" s="207">
        <f t="shared" si="0"/>
        <v>154.48938253852162</v>
      </c>
      <c r="D84" s="212">
        <f t="shared" ref="D84:D89" si="37">100*(B84/B83-1)</f>
        <v>0</v>
      </c>
      <c r="E84" s="212">
        <f t="shared" si="36"/>
        <v>0</v>
      </c>
      <c r="F84" s="213">
        <f t="shared" si="29"/>
        <v>7.0000000000000062</v>
      </c>
      <c r="G84" s="211">
        <f t="shared" si="35"/>
        <v>15.153652113652116</v>
      </c>
      <c r="H84" s="209">
        <f>+B$211/B84</f>
        <v>1.9861862438521769</v>
      </c>
    </row>
    <row r="85" spans="1:9" ht="15.75" hidden="1" customHeight="1">
      <c r="A85" s="230" t="s">
        <v>190</v>
      </c>
      <c r="B85" s="231">
        <f>B84</f>
        <v>2492.5008000000003</v>
      </c>
      <c r="C85" s="207">
        <f t="shared" si="0"/>
        <v>154.48938253852162</v>
      </c>
      <c r="D85" s="212">
        <f t="shared" si="37"/>
        <v>0</v>
      </c>
      <c r="E85" s="212">
        <f t="shared" si="36"/>
        <v>0</v>
      </c>
      <c r="F85" s="213">
        <f t="shared" si="29"/>
        <v>7.0000000000000062</v>
      </c>
      <c r="G85" s="211">
        <f t="shared" si="35"/>
        <v>15.153652113652116</v>
      </c>
      <c r="H85" s="209">
        <f>+B$211/B85</f>
        <v>1.9861862438521769</v>
      </c>
    </row>
    <row r="86" spans="1:9" ht="15.75" hidden="1" customHeight="1">
      <c r="A86" s="230" t="s">
        <v>191</v>
      </c>
      <c r="B86" s="231">
        <f>B85</f>
        <v>2492.5008000000003</v>
      </c>
      <c r="C86" s="207">
        <f t="shared" si="0"/>
        <v>154.48938253852162</v>
      </c>
      <c r="D86" s="212">
        <f t="shared" si="37"/>
        <v>0</v>
      </c>
      <c r="E86" s="212">
        <f t="shared" si="36"/>
        <v>0</v>
      </c>
      <c r="F86" s="213">
        <f t="shared" si="29"/>
        <v>7.0000000000000062</v>
      </c>
      <c r="G86" s="211">
        <f t="shared" si="35"/>
        <v>15.153652113652116</v>
      </c>
      <c r="H86" s="209">
        <f>+B$211/B86</f>
        <v>1.9861862438521769</v>
      </c>
    </row>
    <row r="87" spans="1:9" ht="15.75" hidden="1" customHeight="1">
      <c r="A87" s="230" t="s">
        <v>192</v>
      </c>
      <c r="B87" s="231">
        <f>B86*1.075</f>
        <v>2679.4383600000001</v>
      </c>
      <c r="C87" s="207">
        <f t="shared" si="0"/>
        <v>166.07608622891073</v>
      </c>
      <c r="D87" s="212">
        <f t="shared" si="37"/>
        <v>7.4999999999999956</v>
      </c>
      <c r="E87" s="212">
        <f t="shared" si="36"/>
        <v>7.4999999999999956</v>
      </c>
      <c r="F87" s="213">
        <f t="shared" si="29"/>
        <v>7.4999999999999956</v>
      </c>
      <c r="G87" s="211">
        <f t="shared" si="35"/>
        <v>15.024999999999999</v>
      </c>
      <c r="H87" s="209">
        <f>+B$211/B87</f>
        <v>1.8476151105601648</v>
      </c>
      <c r="I87" s="125" t="s">
        <v>27</v>
      </c>
    </row>
    <row r="88" spans="1:9" ht="15.75" hidden="1" customHeight="1">
      <c r="A88" s="230" t="s">
        <v>193</v>
      </c>
      <c r="B88" s="231">
        <f t="shared" ref="B88:B93" si="38">B87</f>
        <v>2679.4383600000001</v>
      </c>
      <c r="C88" s="207">
        <f t="shared" si="0"/>
        <v>166.07608622891073</v>
      </c>
      <c r="D88" s="212">
        <f t="shared" si="37"/>
        <v>0</v>
      </c>
      <c r="E88" s="212">
        <f t="shared" si="36"/>
        <v>7.4999999999999956</v>
      </c>
      <c r="F88" s="213">
        <f t="shared" si="29"/>
        <v>7.4999999999999956</v>
      </c>
      <c r="G88" s="211">
        <f t="shared" si="35"/>
        <v>15.024999999999999</v>
      </c>
      <c r="H88" s="209">
        <f>+B$211/B88</f>
        <v>1.8476151105601648</v>
      </c>
    </row>
    <row r="89" spans="1:9" ht="15.75" hidden="1" customHeight="1">
      <c r="A89" s="230" t="s">
        <v>194</v>
      </c>
      <c r="B89" s="231">
        <f t="shared" si="38"/>
        <v>2679.4383600000001</v>
      </c>
      <c r="C89" s="207">
        <f t="shared" si="0"/>
        <v>166.07608622891073</v>
      </c>
      <c r="D89" s="212">
        <f t="shared" si="37"/>
        <v>0</v>
      </c>
      <c r="E89" s="212">
        <f t="shared" ref="E89:E94" si="39">100*(B89/B$82-1)</f>
        <v>7.4999999999999956</v>
      </c>
      <c r="F89" s="213">
        <f t="shared" si="29"/>
        <v>7.4999999999999956</v>
      </c>
      <c r="G89" s="211">
        <f t="shared" si="35"/>
        <v>15.024999999999999</v>
      </c>
      <c r="H89" s="209">
        <f>+B$211/B89</f>
        <v>1.8476151105601648</v>
      </c>
    </row>
    <row r="90" spans="1:9" ht="15.75" hidden="1" customHeight="1">
      <c r="A90" s="230" t="s">
        <v>195</v>
      </c>
      <c r="B90" s="231">
        <f t="shared" si="38"/>
        <v>2679.4383600000001</v>
      </c>
      <c r="C90" s="207">
        <f t="shared" si="0"/>
        <v>166.07608622891073</v>
      </c>
      <c r="D90" s="212">
        <f t="shared" ref="D90:D95" si="40">100*(B90/B89-1)</f>
        <v>0</v>
      </c>
      <c r="E90" s="212">
        <f t="shared" si="39"/>
        <v>7.4999999999999956</v>
      </c>
      <c r="F90" s="213">
        <f t="shared" si="29"/>
        <v>7.4999999999999956</v>
      </c>
      <c r="G90" s="211">
        <f t="shared" si="35"/>
        <v>15.024999999999999</v>
      </c>
      <c r="H90" s="209">
        <f>+B$211/B90</f>
        <v>1.8476151105601648</v>
      </c>
    </row>
    <row r="91" spans="1:9" ht="15.75" hidden="1" customHeight="1">
      <c r="A91" s="230" t="s">
        <v>196</v>
      </c>
      <c r="B91" s="231">
        <f t="shared" si="38"/>
        <v>2679.4383600000001</v>
      </c>
      <c r="C91" s="207">
        <f t="shared" si="0"/>
        <v>166.07608622891073</v>
      </c>
      <c r="D91" s="212">
        <f t="shared" si="40"/>
        <v>0</v>
      </c>
      <c r="E91" s="212">
        <f t="shared" si="39"/>
        <v>7.4999999999999956</v>
      </c>
      <c r="F91" s="213">
        <f t="shared" si="29"/>
        <v>7.4999999999999956</v>
      </c>
      <c r="G91" s="211">
        <f t="shared" si="35"/>
        <v>15.024999999999999</v>
      </c>
      <c r="H91" s="209">
        <f>+B$211/B91</f>
        <v>1.8476151105601648</v>
      </c>
    </row>
    <row r="92" spans="1:9" ht="15.75" hidden="1" customHeight="1">
      <c r="A92" s="230" t="s">
        <v>197</v>
      </c>
      <c r="B92" s="231">
        <f t="shared" si="38"/>
        <v>2679.4383600000001</v>
      </c>
      <c r="C92" s="207">
        <f t="shared" si="0"/>
        <v>166.07608622891073</v>
      </c>
      <c r="D92" s="212">
        <f t="shared" si="40"/>
        <v>0</v>
      </c>
      <c r="E92" s="212">
        <f t="shared" si="39"/>
        <v>7.4999999999999956</v>
      </c>
      <c r="F92" s="213">
        <f t="shared" si="29"/>
        <v>7.4999999999999956</v>
      </c>
      <c r="G92" s="211">
        <f t="shared" si="35"/>
        <v>15.024999999999999</v>
      </c>
      <c r="H92" s="209">
        <f>+B$211/B92</f>
        <v>1.8476151105601648</v>
      </c>
    </row>
    <row r="93" spans="1:9" ht="15.75" hidden="1" customHeight="1">
      <c r="A93" s="230" t="s">
        <v>198</v>
      </c>
      <c r="B93" s="231">
        <f t="shared" si="38"/>
        <v>2679.4383600000001</v>
      </c>
      <c r="C93" s="207">
        <f t="shared" si="0"/>
        <v>166.07608622891073</v>
      </c>
      <c r="D93" s="212">
        <f t="shared" si="40"/>
        <v>0</v>
      </c>
      <c r="E93" s="212">
        <f t="shared" si="39"/>
        <v>7.4999999999999956</v>
      </c>
      <c r="F93" s="213">
        <f t="shared" si="29"/>
        <v>7.4999999999999956</v>
      </c>
      <c r="G93" s="211">
        <f t="shared" si="35"/>
        <v>15.024999999999999</v>
      </c>
      <c r="H93" s="209">
        <f>+B$211/B93</f>
        <v>1.8476151105601648</v>
      </c>
    </row>
    <row r="94" spans="1:9" ht="15.75" hidden="1" customHeight="1">
      <c r="A94" s="230" t="s">
        <v>199</v>
      </c>
      <c r="B94" s="231">
        <f>B93</f>
        <v>2679.4383600000001</v>
      </c>
      <c r="C94" s="207">
        <f t="shared" si="0"/>
        <v>166.07608622891073</v>
      </c>
      <c r="D94" s="212">
        <f t="shared" si="40"/>
        <v>0</v>
      </c>
      <c r="E94" s="212">
        <f t="shared" si="39"/>
        <v>7.4999999999999956</v>
      </c>
      <c r="F94" s="213">
        <f t="shared" si="29"/>
        <v>7.4999999999999956</v>
      </c>
      <c r="G94" s="211">
        <f t="shared" si="35"/>
        <v>15.024999999999999</v>
      </c>
      <c r="H94" s="209">
        <f>+B$211/B94</f>
        <v>1.8476151105601648</v>
      </c>
    </row>
    <row r="95" spans="1:9" ht="16.5" customHeight="1">
      <c r="A95" s="232" t="s">
        <v>200</v>
      </c>
      <c r="B95" s="231">
        <f>B94</f>
        <v>2679.4383600000001</v>
      </c>
      <c r="C95" s="207">
        <f t="shared" si="0"/>
        <v>166.07608622891073</v>
      </c>
      <c r="D95" s="212">
        <f t="shared" si="40"/>
        <v>0</v>
      </c>
      <c r="E95" s="212">
        <f t="shared" ref="E95:E100" si="41">100*(B95/B$94-1)</f>
        <v>0</v>
      </c>
      <c r="F95" s="213">
        <f t="shared" si="29"/>
        <v>7.4999999999999956</v>
      </c>
      <c r="G95" s="211">
        <f t="shared" si="35"/>
        <v>15.024999999999999</v>
      </c>
      <c r="H95" s="209">
        <f>+B$211/B95</f>
        <v>1.8476151105601648</v>
      </c>
    </row>
    <row r="96" spans="1:9" ht="16.5" customHeight="1">
      <c r="A96" s="232" t="s">
        <v>201</v>
      </c>
      <c r="B96" s="231">
        <f>B95</f>
        <v>2679.4383600000001</v>
      </c>
      <c r="C96" s="207">
        <f t="shared" si="0"/>
        <v>166.07608622891073</v>
      </c>
      <c r="D96" s="212">
        <f t="shared" ref="D96:D101" si="42">100*(B96/B95-1)</f>
        <v>0</v>
      </c>
      <c r="E96" s="212">
        <f t="shared" si="41"/>
        <v>0</v>
      </c>
      <c r="F96" s="213">
        <f t="shared" si="29"/>
        <v>7.4999999999999956</v>
      </c>
      <c r="G96" s="211">
        <f t="shared" si="35"/>
        <v>15.024999999999999</v>
      </c>
      <c r="H96" s="209">
        <f>+B$211/B96</f>
        <v>1.8476151105601648</v>
      </c>
    </row>
    <row r="97" spans="1:9" ht="16.5" customHeight="1">
      <c r="A97" s="232" t="s">
        <v>202</v>
      </c>
      <c r="B97" s="231">
        <f>B96</f>
        <v>2679.4383600000001</v>
      </c>
      <c r="C97" s="207">
        <f t="shared" si="0"/>
        <v>166.07608622891073</v>
      </c>
      <c r="D97" s="212">
        <f t="shared" si="42"/>
        <v>0</v>
      </c>
      <c r="E97" s="212">
        <f t="shared" si="41"/>
        <v>0</v>
      </c>
      <c r="F97" s="213">
        <f t="shared" si="29"/>
        <v>7.4999999999999956</v>
      </c>
      <c r="G97" s="211">
        <f t="shared" si="35"/>
        <v>15.024999999999999</v>
      </c>
      <c r="H97" s="209">
        <f t="shared" ref="H97:H160" si="43">+B$211/B97</f>
        <v>1.8476151105601648</v>
      </c>
    </row>
    <row r="98" spans="1:9" ht="16.5" customHeight="1">
      <c r="A98" s="232" t="s">
        <v>203</v>
      </c>
      <c r="B98" s="231">
        <f>B97</f>
        <v>2679.4383600000001</v>
      </c>
      <c r="C98" s="207">
        <f t="shared" si="0"/>
        <v>166.07608622891073</v>
      </c>
      <c r="D98" s="212">
        <f t="shared" si="42"/>
        <v>0</v>
      </c>
      <c r="E98" s="212">
        <f t="shared" si="41"/>
        <v>0</v>
      </c>
      <c r="F98" s="213">
        <f t="shared" si="29"/>
        <v>7.4999999999999956</v>
      </c>
      <c r="G98" s="211">
        <f t="shared" si="35"/>
        <v>15.024999999999999</v>
      </c>
      <c r="H98" s="209">
        <f t="shared" si="43"/>
        <v>1.8476151105601648</v>
      </c>
    </row>
    <row r="99" spans="1:9" ht="16.5" customHeight="1">
      <c r="A99" s="232" t="s">
        <v>204</v>
      </c>
      <c r="B99" s="231">
        <f>B98*1.09</f>
        <v>2920.5878124000005</v>
      </c>
      <c r="C99" s="207">
        <f t="shared" si="0"/>
        <v>181.02293398951272</v>
      </c>
      <c r="D99" s="212">
        <f t="shared" si="42"/>
        <v>9.0000000000000071</v>
      </c>
      <c r="E99" s="212">
        <f t="shared" si="41"/>
        <v>9.0000000000000071</v>
      </c>
      <c r="F99" s="213">
        <f t="shared" si="29"/>
        <v>9.0000000000000071</v>
      </c>
      <c r="G99" s="211">
        <f t="shared" si="35"/>
        <v>17.175000000000008</v>
      </c>
      <c r="H99" s="209">
        <f t="shared" si="43"/>
        <v>1.6950597344588665</v>
      </c>
      <c r="I99" s="125" t="s">
        <v>26</v>
      </c>
    </row>
    <row r="100" spans="1:9" ht="16.5" customHeight="1">
      <c r="A100" s="232" t="s">
        <v>205</v>
      </c>
      <c r="B100" s="231">
        <f t="shared" ref="B100:B105" si="44">B99</f>
        <v>2920.5878124000005</v>
      </c>
      <c r="C100" s="207">
        <f t="shared" si="0"/>
        <v>181.02293398951272</v>
      </c>
      <c r="D100" s="212">
        <f t="shared" si="42"/>
        <v>0</v>
      </c>
      <c r="E100" s="212">
        <f t="shared" si="41"/>
        <v>9.0000000000000071</v>
      </c>
      <c r="F100" s="213">
        <f t="shared" si="29"/>
        <v>9.0000000000000071</v>
      </c>
      <c r="G100" s="211">
        <f t="shared" si="35"/>
        <v>17.175000000000008</v>
      </c>
      <c r="H100" s="209">
        <f t="shared" si="43"/>
        <v>1.6950597344588665</v>
      </c>
    </row>
    <row r="101" spans="1:9" ht="16.5" customHeight="1">
      <c r="A101" s="232" t="s">
        <v>206</v>
      </c>
      <c r="B101" s="231">
        <f t="shared" si="44"/>
        <v>2920.5878124000005</v>
      </c>
      <c r="C101" s="207">
        <f t="shared" si="0"/>
        <v>181.02293398951272</v>
      </c>
      <c r="D101" s="212">
        <f t="shared" si="42"/>
        <v>0</v>
      </c>
      <c r="E101" s="212">
        <f t="shared" ref="E101:E106" si="45">100*(B101/B$94-1)</f>
        <v>9.0000000000000071</v>
      </c>
      <c r="F101" s="213">
        <f t="shared" si="29"/>
        <v>9.0000000000000071</v>
      </c>
      <c r="G101" s="211">
        <f t="shared" ref="G101:G106" si="46">100*(B101/B77-1)</f>
        <v>17.175000000000008</v>
      </c>
      <c r="H101" s="209">
        <f t="shared" si="43"/>
        <v>1.6950597344588665</v>
      </c>
    </row>
    <row r="102" spans="1:9" ht="16.5" customHeight="1">
      <c r="A102" s="232" t="s">
        <v>207</v>
      </c>
      <c r="B102" s="231">
        <f t="shared" si="44"/>
        <v>2920.5878124000005</v>
      </c>
      <c r="C102" s="207">
        <f t="shared" si="0"/>
        <v>181.02293398951272</v>
      </c>
      <c r="D102" s="212">
        <f t="shared" ref="D102:D107" si="47">100*(B102/B101-1)</f>
        <v>0</v>
      </c>
      <c r="E102" s="212">
        <f t="shared" si="45"/>
        <v>9.0000000000000071</v>
      </c>
      <c r="F102" s="213">
        <f t="shared" si="29"/>
        <v>9.0000000000000071</v>
      </c>
      <c r="G102" s="211">
        <f t="shared" si="46"/>
        <v>17.175000000000008</v>
      </c>
      <c r="H102" s="209">
        <f t="shared" si="43"/>
        <v>1.6950597344588665</v>
      </c>
    </row>
    <row r="103" spans="1:9" ht="16.5" customHeight="1">
      <c r="A103" s="232" t="s">
        <v>208</v>
      </c>
      <c r="B103" s="231">
        <f t="shared" si="44"/>
        <v>2920.5878124000005</v>
      </c>
      <c r="C103" s="207">
        <f t="shared" si="0"/>
        <v>181.02293398951272</v>
      </c>
      <c r="D103" s="212">
        <f t="shared" si="47"/>
        <v>0</v>
      </c>
      <c r="E103" s="212">
        <f t="shared" si="45"/>
        <v>9.0000000000000071</v>
      </c>
      <c r="F103" s="213">
        <f t="shared" si="29"/>
        <v>9.0000000000000071</v>
      </c>
      <c r="G103" s="211">
        <f t="shared" si="46"/>
        <v>17.175000000000008</v>
      </c>
      <c r="H103" s="209">
        <f t="shared" si="43"/>
        <v>1.6950597344588665</v>
      </c>
    </row>
    <row r="104" spans="1:9" ht="16.5" customHeight="1">
      <c r="A104" s="232" t="s">
        <v>209</v>
      </c>
      <c r="B104" s="231">
        <f t="shared" si="44"/>
        <v>2920.5878124000005</v>
      </c>
      <c r="C104" s="207">
        <f t="shared" si="0"/>
        <v>181.02293398951272</v>
      </c>
      <c r="D104" s="212">
        <f t="shared" si="47"/>
        <v>0</v>
      </c>
      <c r="E104" s="212">
        <f t="shared" si="45"/>
        <v>9.0000000000000071</v>
      </c>
      <c r="F104" s="213">
        <f t="shared" si="29"/>
        <v>9.0000000000000071</v>
      </c>
      <c r="G104" s="211">
        <f t="shared" si="46"/>
        <v>17.175000000000008</v>
      </c>
      <c r="H104" s="209">
        <f t="shared" si="43"/>
        <v>1.6950597344588665</v>
      </c>
    </row>
    <row r="105" spans="1:9" ht="16.5" customHeight="1">
      <c r="A105" s="232" t="s">
        <v>210</v>
      </c>
      <c r="B105" s="231">
        <f t="shared" si="44"/>
        <v>2920.5878124000005</v>
      </c>
      <c r="C105" s="207">
        <f t="shared" si="0"/>
        <v>181.02293398951272</v>
      </c>
      <c r="D105" s="212">
        <f t="shared" si="47"/>
        <v>0</v>
      </c>
      <c r="E105" s="212">
        <f t="shared" si="45"/>
        <v>9.0000000000000071</v>
      </c>
      <c r="F105" s="213">
        <f t="shared" si="29"/>
        <v>9.0000000000000071</v>
      </c>
      <c r="G105" s="211">
        <f t="shared" si="46"/>
        <v>17.175000000000008</v>
      </c>
      <c r="H105" s="209">
        <f t="shared" si="43"/>
        <v>1.6950597344588665</v>
      </c>
    </row>
    <row r="106" spans="1:9" ht="16.5" customHeight="1">
      <c r="A106" s="232" t="s">
        <v>211</v>
      </c>
      <c r="B106" s="231">
        <f>B105</f>
        <v>2920.5878124000005</v>
      </c>
      <c r="C106" s="207">
        <f t="shared" si="0"/>
        <v>181.02293398951272</v>
      </c>
      <c r="D106" s="212">
        <f t="shared" si="47"/>
        <v>0</v>
      </c>
      <c r="E106" s="212">
        <f t="shared" si="45"/>
        <v>9.0000000000000071</v>
      </c>
      <c r="F106" s="213">
        <f t="shared" si="29"/>
        <v>9.0000000000000071</v>
      </c>
      <c r="G106" s="211">
        <f t="shared" si="46"/>
        <v>17.175000000000008</v>
      </c>
      <c r="H106" s="209">
        <f t="shared" si="43"/>
        <v>1.6950597344588665</v>
      </c>
    </row>
    <row r="107" spans="1:9" ht="16.5" customHeight="1">
      <c r="A107" s="232" t="s">
        <v>212</v>
      </c>
      <c r="B107" s="231">
        <f>B106</f>
        <v>2920.5878124000005</v>
      </c>
      <c r="C107" s="207">
        <f t="shared" ref="C107:C112" si="48">100*B107/B$8</f>
        <v>181.02293398951272</v>
      </c>
      <c r="D107" s="212">
        <f t="shared" si="47"/>
        <v>0</v>
      </c>
      <c r="E107" s="212">
        <f t="shared" ref="E107:E112" si="49">100*(B107/B$106-1)</f>
        <v>0</v>
      </c>
      <c r="F107" s="213">
        <f t="shared" si="29"/>
        <v>9.0000000000000071</v>
      </c>
      <c r="G107" s="211">
        <f t="shared" ref="G107:G112" si="50">100*(B107/B83-1)</f>
        <v>17.175000000000008</v>
      </c>
      <c r="H107" s="209">
        <f t="shared" si="43"/>
        <v>1.6950597344588665</v>
      </c>
    </row>
    <row r="108" spans="1:9" ht="16.5" customHeight="1">
      <c r="A108" s="232" t="s">
        <v>213</v>
      </c>
      <c r="B108" s="231">
        <f>B107</f>
        <v>2920.5878124000005</v>
      </c>
      <c r="C108" s="207">
        <f t="shared" si="48"/>
        <v>181.02293398951272</v>
      </c>
      <c r="D108" s="212">
        <f t="shared" ref="D108:D113" si="51">100*(B108/B107-1)</f>
        <v>0</v>
      </c>
      <c r="E108" s="212">
        <f t="shared" si="49"/>
        <v>0</v>
      </c>
      <c r="F108" s="213">
        <f t="shared" si="29"/>
        <v>9.0000000000000071</v>
      </c>
      <c r="G108" s="211">
        <f t="shared" si="50"/>
        <v>17.175000000000008</v>
      </c>
      <c r="H108" s="209">
        <f t="shared" si="43"/>
        <v>1.6950597344588665</v>
      </c>
    </row>
    <row r="109" spans="1:9" ht="16.5" customHeight="1">
      <c r="A109" s="232" t="s">
        <v>214</v>
      </c>
      <c r="B109" s="231">
        <f>B108</f>
        <v>2920.5878124000005</v>
      </c>
      <c r="C109" s="207">
        <f t="shared" si="48"/>
        <v>181.02293398951272</v>
      </c>
      <c r="D109" s="212">
        <f t="shared" si="51"/>
        <v>0</v>
      </c>
      <c r="E109" s="212">
        <f t="shared" si="49"/>
        <v>0</v>
      </c>
      <c r="F109" s="213">
        <f t="shared" si="29"/>
        <v>9.0000000000000071</v>
      </c>
      <c r="G109" s="211">
        <f t="shared" si="50"/>
        <v>17.175000000000008</v>
      </c>
      <c r="H109" s="209">
        <f t="shared" si="43"/>
        <v>1.6950597344588665</v>
      </c>
    </row>
    <row r="110" spans="1:9" ht="16.5" customHeight="1">
      <c r="A110" s="232" t="s">
        <v>215</v>
      </c>
      <c r="B110" s="231">
        <f>B109</f>
        <v>2920.5878124000005</v>
      </c>
      <c r="C110" s="207">
        <f t="shared" si="48"/>
        <v>181.02293398951272</v>
      </c>
      <c r="D110" s="212">
        <f t="shared" si="51"/>
        <v>0</v>
      </c>
      <c r="E110" s="212">
        <f t="shared" si="49"/>
        <v>0</v>
      </c>
      <c r="F110" s="213">
        <f t="shared" si="29"/>
        <v>9.0000000000000071</v>
      </c>
      <c r="G110" s="211">
        <f t="shared" si="50"/>
        <v>17.175000000000008</v>
      </c>
      <c r="H110" s="209">
        <f t="shared" si="43"/>
        <v>1.6950597344588665</v>
      </c>
    </row>
    <row r="111" spans="1:9" ht="16.5" customHeight="1">
      <c r="A111" s="232" t="s">
        <v>216</v>
      </c>
      <c r="B111" s="231">
        <f>B110*1.08</f>
        <v>3154.2348373920008</v>
      </c>
      <c r="C111" s="207">
        <f t="shared" si="48"/>
        <v>195.50476870867377</v>
      </c>
      <c r="D111" s="212">
        <f t="shared" si="51"/>
        <v>8.0000000000000071</v>
      </c>
      <c r="E111" s="212">
        <f t="shared" si="49"/>
        <v>8.0000000000000071</v>
      </c>
      <c r="F111" s="213">
        <f t="shared" si="29"/>
        <v>8.0000000000000071</v>
      </c>
      <c r="G111" s="211">
        <f t="shared" si="50"/>
        <v>17.720000000000024</v>
      </c>
      <c r="H111" s="209">
        <f t="shared" si="43"/>
        <v>1.56949975412858</v>
      </c>
      <c r="I111" s="125" t="s">
        <v>47</v>
      </c>
    </row>
    <row r="112" spans="1:9" ht="16.5" customHeight="1">
      <c r="A112" s="232" t="s">
        <v>217</v>
      </c>
      <c r="B112" s="231">
        <f t="shared" ref="B112:B122" si="52">$B$110*1.08</f>
        <v>3154.2348373920008</v>
      </c>
      <c r="C112" s="207">
        <f t="shared" si="48"/>
        <v>195.50476870867377</v>
      </c>
      <c r="D112" s="212">
        <f t="shared" si="51"/>
        <v>0</v>
      </c>
      <c r="E112" s="212">
        <f t="shared" si="49"/>
        <v>8.0000000000000071</v>
      </c>
      <c r="F112" s="213">
        <f t="shared" si="29"/>
        <v>8.0000000000000071</v>
      </c>
      <c r="G112" s="211">
        <f t="shared" si="50"/>
        <v>17.720000000000024</v>
      </c>
      <c r="H112" s="209">
        <f t="shared" si="43"/>
        <v>1.56949975412858</v>
      </c>
    </row>
    <row r="113" spans="1:9" ht="16.5" customHeight="1">
      <c r="A113" s="232" t="s">
        <v>218</v>
      </c>
      <c r="B113" s="231">
        <f t="shared" si="52"/>
        <v>3154.2348373920008</v>
      </c>
      <c r="C113" s="207">
        <f t="shared" ref="C113:C118" si="53">100*B113/B$8</f>
        <v>195.50476870867377</v>
      </c>
      <c r="D113" s="212">
        <f t="shared" si="51"/>
        <v>0</v>
      </c>
      <c r="E113" s="212">
        <f t="shared" ref="E113:E118" si="54">100*(B113/B$106-1)</f>
        <v>8.0000000000000071</v>
      </c>
      <c r="F113" s="213">
        <f t="shared" si="29"/>
        <v>8.0000000000000071</v>
      </c>
      <c r="G113" s="211">
        <f t="shared" ref="G113:G118" si="55">100*(B113/B89-1)</f>
        <v>17.720000000000024</v>
      </c>
      <c r="H113" s="209">
        <f t="shared" si="43"/>
        <v>1.56949975412858</v>
      </c>
    </row>
    <row r="114" spans="1:9" ht="16.5" customHeight="1">
      <c r="A114" s="232" t="s">
        <v>219</v>
      </c>
      <c r="B114" s="231">
        <f t="shared" si="52"/>
        <v>3154.2348373920008</v>
      </c>
      <c r="C114" s="207">
        <f t="shared" si="53"/>
        <v>195.50476870867377</v>
      </c>
      <c r="D114" s="212">
        <f t="shared" ref="D114:D119" si="56">100*(B114/B113-1)</f>
        <v>0</v>
      </c>
      <c r="E114" s="212">
        <f t="shared" si="54"/>
        <v>8.0000000000000071</v>
      </c>
      <c r="F114" s="213">
        <f t="shared" si="29"/>
        <v>8.0000000000000071</v>
      </c>
      <c r="G114" s="211">
        <f t="shared" si="55"/>
        <v>17.720000000000024</v>
      </c>
      <c r="H114" s="209">
        <f t="shared" si="43"/>
        <v>1.56949975412858</v>
      </c>
    </row>
    <row r="115" spans="1:9" ht="16.5" customHeight="1">
      <c r="A115" s="232" t="s">
        <v>220</v>
      </c>
      <c r="B115" s="231">
        <f t="shared" si="52"/>
        <v>3154.2348373920008</v>
      </c>
      <c r="C115" s="207">
        <f t="shared" si="53"/>
        <v>195.50476870867377</v>
      </c>
      <c r="D115" s="212">
        <f t="shared" si="56"/>
        <v>0</v>
      </c>
      <c r="E115" s="212">
        <f t="shared" si="54"/>
        <v>8.0000000000000071</v>
      </c>
      <c r="F115" s="213">
        <f t="shared" si="29"/>
        <v>8.0000000000000071</v>
      </c>
      <c r="G115" s="211">
        <f t="shared" si="55"/>
        <v>17.720000000000024</v>
      </c>
      <c r="H115" s="209">
        <f t="shared" si="43"/>
        <v>1.56949975412858</v>
      </c>
    </row>
    <row r="116" spans="1:9" ht="16.5" customHeight="1">
      <c r="A116" s="232" t="s">
        <v>221</v>
      </c>
      <c r="B116" s="231">
        <f t="shared" si="52"/>
        <v>3154.2348373920008</v>
      </c>
      <c r="C116" s="207">
        <f t="shared" si="53"/>
        <v>195.50476870867377</v>
      </c>
      <c r="D116" s="212">
        <f t="shared" si="56"/>
        <v>0</v>
      </c>
      <c r="E116" s="212">
        <f t="shared" si="54"/>
        <v>8.0000000000000071</v>
      </c>
      <c r="F116" s="213">
        <f t="shared" si="29"/>
        <v>8.0000000000000071</v>
      </c>
      <c r="G116" s="211">
        <f t="shared" si="55"/>
        <v>17.720000000000024</v>
      </c>
      <c r="H116" s="209">
        <f t="shared" si="43"/>
        <v>1.56949975412858</v>
      </c>
    </row>
    <row r="117" spans="1:9" ht="16.5" customHeight="1">
      <c r="A117" s="232" t="s">
        <v>222</v>
      </c>
      <c r="B117" s="231">
        <f t="shared" si="52"/>
        <v>3154.2348373920008</v>
      </c>
      <c r="C117" s="207">
        <f t="shared" si="53"/>
        <v>195.50476870867377</v>
      </c>
      <c r="D117" s="212">
        <f t="shared" si="56"/>
        <v>0</v>
      </c>
      <c r="E117" s="212">
        <f t="shared" si="54"/>
        <v>8.0000000000000071</v>
      </c>
      <c r="F117" s="213">
        <f t="shared" si="29"/>
        <v>8.0000000000000071</v>
      </c>
      <c r="G117" s="211">
        <f t="shared" si="55"/>
        <v>17.720000000000024</v>
      </c>
      <c r="H117" s="209">
        <f t="shared" si="43"/>
        <v>1.56949975412858</v>
      </c>
    </row>
    <row r="118" spans="1:9" ht="16.5" customHeight="1">
      <c r="A118" s="232" t="s">
        <v>223</v>
      </c>
      <c r="B118" s="231">
        <f t="shared" si="52"/>
        <v>3154.2348373920008</v>
      </c>
      <c r="C118" s="207">
        <f t="shared" si="53"/>
        <v>195.50476870867377</v>
      </c>
      <c r="D118" s="212">
        <f t="shared" si="56"/>
        <v>0</v>
      </c>
      <c r="E118" s="212">
        <f t="shared" si="54"/>
        <v>8.0000000000000071</v>
      </c>
      <c r="F118" s="213">
        <f t="shared" si="29"/>
        <v>8.0000000000000071</v>
      </c>
      <c r="G118" s="211">
        <f t="shared" si="55"/>
        <v>17.720000000000024</v>
      </c>
      <c r="H118" s="209">
        <f t="shared" si="43"/>
        <v>1.56949975412858</v>
      </c>
    </row>
    <row r="119" spans="1:9" ht="16.5" customHeight="1">
      <c r="A119" s="232" t="s">
        <v>224</v>
      </c>
      <c r="B119" s="231">
        <f t="shared" si="52"/>
        <v>3154.2348373920008</v>
      </c>
      <c r="C119" s="207">
        <f t="shared" ref="C119:C124" si="57">100*B119/B$8</f>
        <v>195.50476870867377</v>
      </c>
      <c r="D119" s="212">
        <f t="shared" si="56"/>
        <v>0</v>
      </c>
      <c r="E119" s="212">
        <f t="shared" ref="E119:E124" si="58">100*(B119/B$118-1)</f>
        <v>0</v>
      </c>
      <c r="F119" s="213">
        <f t="shared" si="29"/>
        <v>8.0000000000000071</v>
      </c>
      <c r="G119" s="211">
        <f t="shared" ref="G119:G124" si="59">100*(B119/B95-1)</f>
        <v>17.720000000000024</v>
      </c>
      <c r="H119" s="209">
        <f t="shared" si="43"/>
        <v>1.56949975412858</v>
      </c>
    </row>
    <row r="120" spans="1:9" ht="16.5" customHeight="1">
      <c r="A120" s="232" t="s">
        <v>225</v>
      </c>
      <c r="B120" s="231">
        <f t="shared" si="52"/>
        <v>3154.2348373920008</v>
      </c>
      <c r="C120" s="207">
        <f t="shared" si="57"/>
        <v>195.50476870867377</v>
      </c>
      <c r="D120" s="212">
        <f t="shared" ref="D120:D125" si="60">100*(B120/B119-1)</f>
        <v>0</v>
      </c>
      <c r="E120" s="212">
        <f t="shared" si="58"/>
        <v>0</v>
      </c>
      <c r="F120" s="213">
        <f t="shared" si="29"/>
        <v>8.0000000000000071</v>
      </c>
      <c r="G120" s="211">
        <f t="shared" si="59"/>
        <v>17.720000000000024</v>
      </c>
      <c r="H120" s="209">
        <f t="shared" si="43"/>
        <v>1.56949975412858</v>
      </c>
    </row>
    <row r="121" spans="1:9" ht="16.5" customHeight="1">
      <c r="A121" s="232" t="s">
        <v>226</v>
      </c>
      <c r="B121" s="231">
        <f t="shared" si="52"/>
        <v>3154.2348373920008</v>
      </c>
      <c r="C121" s="207">
        <f t="shared" si="57"/>
        <v>195.50476870867377</v>
      </c>
      <c r="D121" s="212">
        <f t="shared" si="60"/>
        <v>0</v>
      </c>
      <c r="E121" s="212">
        <f t="shared" si="58"/>
        <v>0</v>
      </c>
      <c r="F121" s="213">
        <f t="shared" si="29"/>
        <v>8.0000000000000071</v>
      </c>
      <c r="G121" s="211">
        <f t="shared" si="59"/>
        <v>17.720000000000024</v>
      </c>
      <c r="H121" s="209">
        <f t="shared" si="43"/>
        <v>1.56949975412858</v>
      </c>
    </row>
    <row r="122" spans="1:9" ht="16.5" customHeight="1">
      <c r="A122" s="232" t="s">
        <v>227</v>
      </c>
      <c r="B122" s="231">
        <f t="shared" si="52"/>
        <v>3154.2348373920008</v>
      </c>
      <c r="C122" s="207">
        <f t="shared" si="57"/>
        <v>195.50476870867377</v>
      </c>
      <c r="D122" s="212">
        <f t="shared" si="60"/>
        <v>0</v>
      </c>
      <c r="E122" s="212">
        <f t="shared" si="58"/>
        <v>0</v>
      </c>
      <c r="F122" s="213">
        <f t="shared" si="29"/>
        <v>8.0000000000000071</v>
      </c>
      <c r="G122" s="211">
        <f t="shared" si="59"/>
        <v>17.720000000000024</v>
      </c>
      <c r="H122" s="209">
        <f t="shared" si="43"/>
        <v>1.56949975412858</v>
      </c>
    </row>
    <row r="123" spans="1:9" ht="16.5" customHeight="1">
      <c r="A123" s="232" t="s">
        <v>228</v>
      </c>
      <c r="B123" s="231">
        <f>$B$122*1.09</f>
        <v>3438.1159727572813</v>
      </c>
      <c r="C123" s="207">
        <f t="shared" si="57"/>
        <v>213.10019789245442</v>
      </c>
      <c r="D123" s="212">
        <f t="shared" si="60"/>
        <v>9.0000000000000071</v>
      </c>
      <c r="E123" s="212">
        <f t="shared" si="58"/>
        <v>9.0000000000000071</v>
      </c>
      <c r="F123" s="213">
        <f t="shared" si="29"/>
        <v>9.0000000000000071</v>
      </c>
      <c r="G123" s="211">
        <f t="shared" si="59"/>
        <v>17.720000000000024</v>
      </c>
      <c r="H123" s="209">
        <f t="shared" si="43"/>
        <v>1.4399080313106236</v>
      </c>
      <c r="I123" s="125" t="s">
        <v>51</v>
      </c>
    </row>
    <row r="124" spans="1:9" ht="16.5" customHeight="1">
      <c r="A124" s="232" t="s">
        <v>229</v>
      </c>
      <c r="B124" s="231">
        <f>$B$122*1.09</f>
        <v>3438.1159727572813</v>
      </c>
      <c r="C124" s="207">
        <f t="shared" si="57"/>
        <v>213.10019789245442</v>
      </c>
      <c r="D124" s="212">
        <f t="shared" si="60"/>
        <v>0</v>
      </c>
      <c r="E124" s="212">
        <f t="shared" si="58"/>
        <v>9.0000000000000071</v>
      </c>
      <c r="F124" s="213">
        <f t="shared" si="29"/>
        <v>9.0000000000000071</v>
      </c>
      <c r="G124" s="211">
        <f t="shared" si="59"/>
        <v>17.720000000000024</v>
      </c>
      <c r="H124" s="209">
        <f t="shared" si="43"/>
        <v>1.4399080313106236</v>
      </c>
      <c r="I124" s="125"/>
    </row>
    <row r="125" spans="1:9" ht="16.5" customHeight="1">
      <c r="A125" s="232" t="s">
        <v>230</v>
      </c>
      <c r="B125" s="231">
        <f>$B$122*1.09</f>
        <v>3438.1159727572813</v>
      </c>
      <c r="C125" s="207">
        <f t="shared" ref="C125:C131" si="61">100*B125/B$8</f>
        <v>213.10019789245442</v>
      </c>
      <c r="D125" s="212">
        <f t="shared" si="60"/>
        <v>0</v>
      </c>
      <c r="E125" s="212">
        <f t="shared" ref="E125:E130" si="62">100*(B125/B$118-1)</f>
        <v>9.0000000000000071</v>
      </c>
      <c r="F125" s="213">
        <f t="shared" si="29"/>
        <v>9.0000000000000071</v>
      </c>
      <c r="G125" s="211">
        <f t="shared" ref="G125:G130" si="63">100*(B125/B101-1)</f>
        <v>17.720000000000024</v>
      </c>
      <c r="H125" s="209">
        <f t="shared" si="43"/>
        <v>1.4399080313106236</v>
      </c>
      <c r="I125" s="125"/>
    </row>
    <row r="126" spans="1:9" ht="16.5" customHeight="1">
      <c r="A126" s="232" t="s">
        <v>231</v>
      </c>
      <c r="B126" s="231">
        <f>$B$122*1.09</f>
        <v>3438.1159727572813</v>
      </c>
      <c r="C126" s="207">
        <f t="shared" si="61"/>
        <v>213.10019789245442</v>
      </c>
      <c r="D126" s="212">
        <f t="shared" ref="D126:D131" si="64">100*(B126/B125-1)</f>
        <v>0</v>
      </c>
      <c r="E126" s="212">
        <f t="shared" si="62"/>
        <v>9.0000000000000071</v>
      </c>
      <c r="F126" s="213">
        <f t="shared" si="29"/>
        <v>9.0000000000000071</v>
      </c>
      <c r="G126" s="211">
        <f t="shared" si="63"/>
        <v>17.720000000000024</v>
      </c>
      <c r="H126" s="209">
        <f t="shared" si="43"/>
        <v>1.4399080313106236</v>
      </c>
      <c r="I126" s="125"/>
    </row>
    <row r="127" spans="1:9" ht="16.5" customHeight="1">
      <c r="A127" s="232" t="s">
        <v>232</v>
      </c>
      <c r="B127" s="231">
        <f t="shared" ref="B127:B134" si="65">$B$122*(1.09+0.01)</f>
        <v>3469.6583211312013</v>
      </c>
      <c r="C127" s="207">
        <f t="shared" si="61"/>
        <v>215.05524557954115</v>
      </c>
      <c r="D127" s="212">
        <f t="shared" si="64"/>
        <v>0.91743119266054496</v>
      </c>
      <c r="E127" s="212">
        <f t="shared" si="62"/>
        <v>10.000000000000009</v>
      </c>
      <c r="F127" s="213">
        <f t="shared" si="29"/>
        <v>10.000000000000009</v>
      </c>
      <c r="G127" s="211">
        <f t="shared" si="63"/>
        <v>18.800000000000018</v>
      </c>
      <c r="H127" s="209">
        <f t="shared" si="43"/>
        <v>1.4268179582987088</v>
      </c>
      <c r="I127" s="125" t="s">
        <v>54</v>
      </c>
    </row>
    <row r="128" spans="1:9" ht="16.5" customHeight="1">
      <c r="A128" s="232" t="s">
        <v>233</v>
      </c>
      <c r="B128" s="231">
        <f t="shared" si="65"/>
        <v>3469.6583211312013</v>
      </c>
      <c r="C128" s="207">
        <f t="shared" si="61"/>
        <v>215.05524557954115</v>
      </c>
      <c r="D128" s="212">
        <f t="shared" si="64"/>
        <v>0</v>
      </c>
      <c r="E128" s="212">
        <f t="shared" si="62"/>
        <v>10.000000000000009</v>
      </c>
      <c r="F128" s="213">
        <f t="shared" si="29"/>
        <v>10.000000000000009</v>
      </c>
      <c r="G128" s="211">
        <f t="shared" si="63"/>
        <v>18.800000000000018</v>
      </c>
      <c r="H128" s="209">
        <f t="shared" si="43"/>
        <v>1.4268179582987088</v>
      </c>
      <c r="I128" s="125"/>
    </row>
    <row r="129" spans="1:9" ht="16.5" customHeight="1">
      <c r="A129" s="232" t="s">
        <v>234</v>
      </c>
      <c r="B129" s="231">
        <f t="shared" si="65"/>
        <v>3469.6583211312013</v>
      </c>
      <c r="C129" s="207">
        <f t="shared" si="61"/>
        <v>215.05524557954115</v>
      </c>
      <c r="D129" s="212">
        <f t="shared" si="64"/>
        <v>0</v>
      </c>
      <c r="E129" s="212">
        <f t="shared" si="62"/>
        <v>10.000000000000009</v>
      </c>
      <c r="F129" s="213">
        <f t="shared" si="29"/>
        <v>10.000000000000009</v>
      </c>
      <c r="G129" s="211">
        <f t="shared" si="63"/>
        <v>18.800000000000018</v>
      </c>
      <c r="H129" s="209">
        <f t="shared" si="43"/>
        <v>1.4268179582987088</v>
      </c>
      <c r="I129" s="125"/>
    </row>
    <row r="130" spans="1:9" ht="16.5" customHeight="1">
      <c r="A130" s="232" t="s">
        <v>235</v>
      </c>
      <c r="B130" s="231">
        <f t="shared" si="65"/>
        <v>3469.6583211312013</v>
      </c>
      <c r="C130" s="207">
        <f t="shared" si="61"/>
        <v>215.05524557954115</v>
      </c>
      <c r="D130" s="212">
        <f t="shared" si="64"/>
        <v>0</v>
      </c>
      <c r="E130" s="212">
        <f t="shared" si="62"/>
        <v>10.000000000000009</v>
      </c>
      <c r="F130" s="213">
        <f t="shared" ref="F130:F136" si="66">(100*(B130/B118-1))</f>
        <v>10.000000000000009</v>
      </c>
      <c r="G130" s="211">
        <f t="shared" si="63"/>
        <v>18.800000000000018</v>
      </c>
      <c r="H130" s="209">
        <f t="shared" si="43"/>
        <v>1.4268179582987088</v>
      </c>
      <c r="I130" s="125"/>
    </row>
    <row r="131" spans="1:9" ht="16.5" customHeight="1">
      <c r="A131" s="232" t="s">
        <v>236</v>
      </c>
      <c r="B131" s="231">
        <f t="shared" si="65"/>
        <v>3469.6583211312013</v>
      </c>
      <c r="C131" s="207">
        <f t="shared" si="61"/>
        <v>215.05524557954115</v>
      </c>
      <c r="D131" s="212">
        <f t="shared" si="64"/>
        <v>0</v>
      </c>
      <c r="E131" s="212">
        <f t="shared" ref="E131:E136" si="67">100*(B131/B$130-1)</f>
        <v>0</v>
      </c>
      <c r="F131" s="213">
        <f t="shared" si="66"/>
        <v>10.000000000000009</v>
      </c>
      <c r="G131" s="211">
        <f t="shared" ref="G131:G136" si="68">100*(B131/B107-1)</f>
        <v>18.800000000000018</v>
      </c>
      <c r="H131" s="209">
        <f t="shared" si="43"/>
        <v>1.4268179582987088</v>
      </c>
      <c r="I131" s="125"/>
    </row>
    <row r="132" spans="1:9" ht="16.5" customHeight="1">
      <c r="A132" s="232" t="s">
        <v>237</v>
      </c>
      <c r="B132" s="231">
        <f t="shared" si="65"/>
        <v>3469.6583211312013</v>
      </c>
      <c r="C132" s="207">
        <f t="shared" ref="C132:C137" si="69">100*B132/B$8</f>
        <v>215.05524557954115</v>
      </c>
      <c r="D132" s="212">
        <f t="shared" ref="D132:D137" si="70">100*(B132/B131-1)</f>
        <v>0</v>
      </c>
      <c r="E132" s="212">
        <f t="shared" si="67"/>
        <v>0</v>
      </c>
      <c r="F132" s="213">
        <f t="shared" si="66"/>
        <v>10.000000000000009</v>
      </c>
      <c r="G132" s="211">
        <f t="shared" si="68"/>
        <v>18.800000000000018</v>
      </c>
      <c r="H132" s="209">
        <f t="shared" si="43"/>
        <v>1.4268179582987088</v>
      </c>
      <c r="I132" s="125"/>
    </row>
    <row r="133" spans="1:9" ht="16.5" customHeight="1">
      <c r="A133" s="232" t="s">
        <v>238</v>
      </c>
      <c r="B133" s="233">
        <f t="shared" si="65"/>
        <v>3469.6583211312013</v>
      </c>
      <c r="C133" s="207">
        <f t="shared" si="69"/>
        <v>215.05524557954115</v>
      </c>
      <c r="D133" s="212">
        <f t="shared" si="70"/>
        <v>0</v>
      </c>
      <c r="E133" s="212">
        <f t="shared" si="67"/>
        <v>0</v>
      </c>
      <c r="F133" s="213">
        <f t="shared" si="66"/>
        <v>10.000000000000009</v>
      </c>
      <c r="G133" s="211">
        <f t="shared" si="68"/>
        <v>18.800000000000018</v>
      </c>
      <c r="H133" s="209">
        <f t="shared" si="43"/>
        <v>1.4268179582987088</v>
      </c>
      <c r="I133" s="125"/>
    </row>
    <row r="134" spans="1:9" ht="16.5" customHeight="1">
      <c r="A134" s="232" t="s">
        <v>239</v>
      </c>
      <c r="B134" s="233">
        <f t="shared" si="65"/>
        <v>3469.6583211312013</v>
      </c>
      <c r="C134" s="207">
        <f t="shared" si="69"/>
        <v>215.05524557954115</v>
      </c>
      <c r="D134" s="212">
        <f t="shared" si="70"/>
        <v>0</v>
      </c>
      <c r="E134" s="212">
        <f t="shared" si="67"/>
        <v>0</v>
      </c>
      <c r="F134" s="213">
        <f t="shared" si="66"/>
        <v>10.000000000000009</v>
      </c>
      <c r="G134" s="211">
        <f t="shared" si="68"/>
        <v>18.800000000000018</v>
      </c>
      <c r="H134" s="209">
        <f t="shared" si="43"/>
        <v>1.4268179582987088</v>
      </c>
      <c r="I134" s="125"/>
    </row>
    <row r="135" spans="1:9" ht="16.5" customHeight="1">
      <c r="A135" s="232" t="s">
        <v>240</v>
      </c>
      <c r="B135" s="233">
        <f t="shared" ref="B135:B146" si="71">$B$122*(1.09+0.01)*1.075</f>
        <v>3729.8826952160412</v>
      </c>
      <c r="C135" s="207">
        <f t="shared" si="69"/>
        <v>231.18438899800674</v>
      </c>
      <c r="D135" s="212">
        <f t="shared" si="70"/>
        <v>7.4999999999999956</v>
      </c>
      <c r="E135" s="212">
        <f t="shared" si="67"/>
        <v>7.4999999999999956</v>
      </c>
      <c r="F135" s="213">
        <f t="shared" si="66"/>
        <v>8.4862385321100788</v>
      </c>
      <c r="G135" s="211">
        <f t="shared" si="68"/>
        <v>18.250000000000011</v>
      </c>
      <c r="H135" s="209">
        <f t="shared" si="43"/>
        <v>1.3272725193476362</v>
      </c>
      <c r="I135" s="125" t="s">
        <v>77</v>
      </c>
    </row>
    <row r="136" spans="1:9" ht="16.5" customHeight="1">
      <c r="A136" s="232" t="s">
        <v>241</v>
      </c>
      <c r="B136" s="233">
        <f t="shared" si="71"/>
        <v>3729.8826952160412</v>
      </c>
      <c r="C136" s="207">
        <f t="shared" si="69"/>
        <v>231.18438899800674</v>
      </c>
      <c r="D136" s="212">
        <f t="shared" si="70"/>
        <v>0</v>
      </c>
      <c r="E136" s="212">
        <f t="shared" si="67"/>
        <v>7.4999999999999956</v>
      </c>
      <c r="F136" s="213">
        <f t="shared" si="66"/>
        <v>8.4862385321100788</v>
      </c>
      <c r="G136" s="211">
        <f t="shared" si="68"/>
        <v>18.250000000000011</v>
      </c>
      <c r="H136" s="209">
        <f t="shared" si="43"/>
        <v>1.3272725193476362</v>
      </c>
    </row>
    <row r="137" spans="1:9" ht="16.5" customHeight="1">
      <c r="A137" s="232" t="s">
        <v>242</v>
      </c>
      <c r="B137" s="233">
        <f t="shared" si="71"/>
        <v>3729.8826952160412</v>
      </c>
      <c r="C137" s="207">
        <f t="shared" si="69"/>
        <v>231.18438899800674</v>
      </c>
      <c r="D137" s="212">
        <f t="shared" si="70"/>
        <v>0</v>
      </c>
      <c r="E137" s="212">
        <f t="shared" ref="E137:E142" si="72">100*(B137/B$130-1)</f>
        <v>7.4999999999999956</v>
      </c>
      <c r="F137" s="213">
        <f t="shared" ref="F137:F142" si="73">(100*(B137/B125-1))</f>
        <v>8.4862385321100788</v>
      </c>
      <c r="G137" s="211">
        <f t="shared" ref="G137:G142" si="74">100*(B137/B113-1)</f>
        <v>18.250000000000011</v>
      </c>
      <c r="H137" s="209">
        <f t="shared" si="43"/>
        <v>1.3272725193476362</v>
      </c>
    </row>
    <row r="138" spans="1:9" ht="16.5" customHeight="1">
      <c r="A138" s="232" t="s">
        <v>243</v>
      </c>
      <c r="B138" s="233">
        <f t="shared" si="71"/>
        <v>3729.8826952160412</v>
      </c>
      <c r="C138" s="207">
        <f t="shared" ref="C138:C143" si="75">100*B138/B$8</f>
        <v>231.18438899800674</v>
      </c>
      <c r="D138" s="212">
        <f t="shared" ref="D138:D143" si="76">100*(B138/B137-1)</f>
        <v>0</v>
      </c>
      <c r="E138" s="212">
        <f t="shared" si="72"/>
        <v>7.4999999999999956</v>
      </c>
      <c r="F138" s="213">
        <f t="shared" si="73"/>
        <v>8.4862385321100788</v>
      </c>
      <c r="G138" s="211">
        <f t="shared" si="74"/>
        <v>18.250000000000011</v>
      </c>
      <c r="H138" s="209">
        <f t="shared" si="43"/>
        <v>1.3272725193476362</v>
      </c>
    </row>
    <row r="139" spans="1:9" ht="16.5" customHeight="1">
      <c r="A139" s="232" t="s">
        <v>244</v>
      </c>
      <c r="B139" s="233">
        <f t="shared" si="71"/>
        <v>3729.8826952160412</v>
      </c>
      <c r="C139" s="207">
        <f t="shared" si="75"/>
        <v>231.18438899800674</v>
      </c>
      <c r="D139" s="212">
        <f t="shared" si="76"/>
        <v>0</v>
      </c>
      <c r="E139" s="212">
        <f t="shared" si="72"/>
        <v>7.4999999999999956</v>
      </c>
      <c r="F139" s="213">
        <f t="shared" si="73"/>
        <v>7.4999999999999956</v>
      </c>
      <c r="G139" s="211">
        <f t="shared" si="74"/>
        <v>18.250000000000011</v>
      </c>
      <c r="H139" s="209">
        <f t="shared" si="43"/>
        <v>1.3272725193476362</v>
      </c>
    </row>
    <row r="140" spans="1:9" ht="16.5" customHeight="1">
      <c r="A140" s="232" t="s">
        <v>245</v>
      </c>
      <c r="B140" s="233">
        <f t="shared" si="71"/>
        <v>3729.8826952160412</v>
      </c>
      <c r="C140" s="207">
        <f t="shared" si="75"/>
        <v>231.18438899800674</v>
      </c>
      <c r="D140" s="212">
        <f t="shared" si="76"/>
        <v>0</v>
      </c>
      <c r="E140" s="212">
        <f t="shared" si="72"/>
        <v>7.4999999999999956</v>
      </c>
      <c r="F140" s="213">
        <f t="shared" si="73"/>
        <v>7.4999999999999956</v>
      </c>
      <c r="G140" s="211">
        <f t="shared" si="74"/>
        <v>18.250000000000011</v>
      </c>
      <c r="H140" s="209">
        <f t="shared" si="43"/>
        <v>1.3272725193476362</v>
      </c>
    </row>
    <row r="141" spans="1:9" ht="16.5" customHeight="1">
      <c r="A141" s="232" t="s">
        <v>246</v>
      </c>
      <c r="B141" s="233">
        <f t="shared" si="71"/>
        <v>3729.8826952160412</v>
      </c>
      <c r="C141" s="207">
        <f t="shared" si="75"/>
        <v>231.18438899800674</v>
      </c>
      <c r="D141" s="212">
        <f t="shared" si="76"/>
        <v>0</v>
      </c>
      <c r="E141" s="212">
        <f t="shared" si="72"/>
        <v>7.4999999999999956</v>
      </c>
      <c r="F141" s="213">
        <f t="shared" si="73"/>
        <v>7.4999999999999956</v>
      </c>
      <c r="G141" s="211">
        <f t="shared" si="74"/>
        <v>18.250000000000011</v>
      </c>
      <c r="H141" s="209">
        <f t="shared" si="43"/>
        <v>1.3272725193476362</v>
      </c>
    </row>
    <row r="142" spans="1:9" ht="16.5" customHeight="1">
      <c r="A142" s="232" t="s">
        <v>247</v>
      </c>
      <c r="B142" s="233">
        <f t="shared" si="71"/>
        <v>3729.8826952160412</v>
      </c>
      <c r="C142" s="207">
        <f t="shared" si="75"/>
        <v>231.18438899800674</v>
      </c>
      <c r="D142" s="212">
        <f t="shared" si="76"/>
        <v>0</v>
      </c>
      <c r="E142" s="212">
        <f t="shared" si="72"/>
        <v>7.4999999999999956</v>
      </c>
      <c r="F142" s="213">
        <f t="shared" si="73"/>
        <v>7.4999999999999956</v>
      </c>
      <c r="G142" s="211">
        <f t="shared" si="74"/>
        <v>18.250000000000011</v>
      </c>
      <c r="H142" s="209">
        <f t="shared" si="43"/>
        <v>1.3272725193476362</v>
      </c>
    </row>
    <row r="143" spans="1:9" ht="16.5" customHeight="1">
      <c r="A143" s="232" t="s">
        <v>248</v>
      </c>
      <c r="B143" s="233">
        <f t="shared" si="71"/>
        <v>3729.8826952160412</v>
      </c>
      <c r="C143" s="207">
        <f t="shared" si="75"/>
        <v>231.18438899800674</v>
      </c>
      <c r="D143" s="212">
        <f t="shared" si="76"/>
        <v>0</v>
      </c>
      <c r="E143" s="212">
        <f t="shared" ref="E143:E148" si="77">100*(B143/B$142-1)</f>
        <v>0</v>
      </c>
      <c r="F143" s="213">
        <f t="shared" ref="F143:F148" si="78">(100*(B143/B131-1))</f>
        <v>7.4999999999999956</v>
      </c>
      <c r="G143" s="211">
        <f t="shared" ref="G143:G148" si="79">100*(B143/B119-1)</f>
        <v>18.250000000000011</v>
      </c>
      <c r="H143" s="209">
        <f t="shared" si="43"/>
        <v>1.3272725193476362</v>
      </c>
    </row>
    <row r="144" spans="1:9" ht="16.5" customHeight="1">
      <c r="A144" s="234" t="s">
        <v>249</v>
      </c>
      <c r="B144" s="233">
        <f t="shared" si="71"/>
        <v>3729.8826952160412</v>
      </c>
      <c r="C144" s="207">
        <f t="shared" ref="C144:C150" si="80">100*B144/B$8</f>
        <v>231.18438899800674</v>
      </c>
      <c r="D144" s="212">
        <f t="shared" ref="D144:D149" si="81">100*(B144/B143-1)</f>
        <v>0</v>
      </c>
      <c r="E144" s="212">
        <f t="shared" si="77"/>
        <v>0</v>
      </c>
      <c r="F144" s="213">
        <f t="shared" si="78"/>
        <v>7.4999999999999956</v>
      </c>
      <c r="G144" s="211">
        <f t="shared" si="79"/>
        <v>18.250000000000011</v>
      </c>
      <c r="H144" s="209">
        <f t="shared" si="43"/>
        <v>1.3272725193476362</v>
      </c>
    </row>
    <row r="145" spans="1:8" ht="16.5" customHeight="1">
      <c r="A145" s="234" t="s">
        <v>250</v>
      </c>
      <c r="B145" s="233">
        <f t="shared" si="71"/>
        <v>3729.8826952160412</v>
      </c>
      <c r="C145" s="207">
        <f t="shared" si="80"/>
        <v>231.18438899800674</v>
      </c>
      <c r="D145" s="212">
        <f t="shared" si="81"/>
        <v>0</v>
      </c>
      <c r="E145" s="212">
        <f t="shared" si="77"/>
        <v>0</v>
      </c>
      <c r="F145" s="213">
        <f t="shared" si="78"/>
        <v>7.4999999999999956</v>
      </c>
      <c r="G145" s="211">
        <f t="shared" si="79"/>
        <v>18.250000000000011</v>
      </c>
      <c r="H145" s="209">
        <f t="shared" si="43"/>
        <v>1.3272725193476362</v>
      </c>
    </row>
    <row r="146" spans="1:8" ht="16.5" customHeight="1">
      <c r="A146" s="234" t="s">
        <v>252</v>
      </c>
      <c r="B146" s="233">
        <f t="shared" si="71"/>
        <v>3729.8826952160412</v>
      </c>
      <c r="C146" s="207">
        <f t="shared" si="80"/>
        <v>231.18438899800674</v>
      </c>
      <c r="D146" s="212">
        <f t="shared" si="81"/>
        <v>0</v>
      </c>
      <c r="E146" s="212">
        <f t="shared" si="77"/>
        <v>0</v>
      </c>
      <c r="F146" s="213">
        <f t="shared" si="78"/>
        <v>7.4999999999999956</v>
      </c>
      <c r="G146" s="211">
        <f t="shared" si="79"/>
        <v>18.250000000000011</v>
      </c>
      <c r="H146" s="209">
        <f t="shared" si="43"/>
        <v>1.3272725193476362</v>
      </c>
    </row>
    <row r="147" spans="1:8" ht="16.5" customHeight="1">
      <c r="A147" s="234" t="s">
        <v>253</v>
      </c>
      <c r="B147" s="233">
        <f>$B$122*(1.09+0.01)*1.075*(1+8.34%)</f>
        <v>4040.9549119970588</v>
      </c>
      <c r="C147" s="207">
        <f t="shared" si="80"/>
        <v>250.46516704044046</v>
      </c>
      <c r="D147" s="212">
        <f t="shared" si="81"/>
        <v>8.3399999999999928</v>
      </c>
      <c r="E147" s="212">
        <f t="shared" si="77"/>
        <v>8.3399999999999928</v>
      </c>
      <c r="F147" s="213">
        <f t="shared" si="78"/>
        <v>8.3399999999999928</v>
      </c>
      <c r="G147" s="211">
        <f t="shared" si="79"/>
        <v>17.533990825688072</v>
      </c>
      <c r="H147" s="209">
        <f t="shared" si="43"/>
        <v>1.2250992425213554</v>
      </c>
    </row>
    <row r="148" spans="1:8" ht="16.5" customHeight="1">
      <c r="A148" s="234" t="s">
        <v>254</v>
      </c>
      <c r="B148" s="233">
        <f t="shared" ref="B148:B158" si="82">$B$122*(1.09+0.01)*1.075*(1+8.34%+0.66%)</f>
        <v>4065.5721377854843</v>
      </c>
      <c r="C148" s="207">
        <f t="shared" si="80"/>
        <v>251.99098400782728</v>
      </c>
      <c r="D148" s="212">
        <f t="shared" si="81"/>
        <v>0.6091932804135114</v>
      </c>
      <c r="E148" s="212">
        <f t="shared" si="77"/>
        <v>8.9999999999999858</v>
      </c>
      <c r="F148" s="213">
        <f t="shared" si="78"/>
        <v>8.9999999999999858</v>
      </c>
      <c r="G148" s="211">
        <f t="shared" si="79"/>
        <v>18.249999999999964</v>
      </c>
      <c r="H148" s="209">
        <f t="shared" si="43"/>
        <v>1.2176812104106756</v>
      </c>
    </row>
    <row r="149" spans="1:8" ht="16.5" customHeight="1">
      <c r="A149" s="234" t="s">
        <v>255</v>
      </c>
      <c r="B149" s="233">
        <f t="shared" si="82"/>
        <v>4065.5721377854843</v>
      </c>
      <c r="C149" s="207">
        <f t="shared" si="80"/>
        <v>251.99098400782728</v>
      </c>
      <c r="D149" s="212">
        <f t="shared" si="81"/>
        <v>0</v>
      </c>
      <c r="E149" s="212">
        <f t="shared" ref="E149:E154" si="83">100*(B149/B$142-1)</f>
        <v>8.9999999999999858</v>
      </c>
      <c r="F149" s="213">
        <f t="shared" ref="F149:F154" si="84">(100*(B149/B137-1))</f>
        <v>8.9999999999999858</v>
      </c>
      <c r="G149" s="211">
        <f t="shared" ref="G149:G154" si="85">100*(B149/B125-1)</f>
        <v>18.249999999999964</v>
      </c>
      <c r="H149" s="209">
        <f t="shared" si="43"/>
        <v>1.2176812104106756</v>
      </c>
    </row>
    <row r="150" spans="1:8" ht="16.5" customHeight="1">
      <c r="A150" s="234" t="str">
        <f>'Despesas Indireta'!A150</f>
        <v>AGOSTO|15</v>
      </c>
      <c r="B150" s="233">
        <f t="shared" si="82"/>
        <v>4065.5721377854843</v>
      </c>
      <c r="C150" s="207">
        <f t="shared" si="80"/>
        <v>251.99098400782728</v>
      </c>
      <c r="D150" s="212">
        <f t="shared" ref="D150:D155" si="86">100*(B150/B149-1)</f>
        <v>0</v>
      </c>
      <c r="E150" s="212">
        <f t="shared" si="83"/>
        <v>8.9999999999999858</v>
      </c>
      <c r="F150" s="213">
        <f t="shared" si="84"/>
        <v>8.9999999999999858</v>
      </c>
      <c r="G150" s="211">
        <f t="shared" si="85"/>
        <v>18.249999999999964</v>
      </c>
      <c r="H150" s="209">
        <f t="shared" si="43"/>
        <v>1.2176812104106756</v>
      </c>
    </row>
    <row r="151" spans="1:8" ht="16.5" customHeight="1">
      <c r="A151" s="234" t="str">
        <f>'Despesas Indireta'!A151</f>
        <v>SETEMBRO|15</v>
      </c>
      <c r="B151" s="233">
        <f t="shared" si="82"/>
        <v>4065.5721377854843</v>
      </c>
      <c r="C151" s="207">
        <f t="shared" ref="C151:C157" si="87">100*B151/B$8</f>
        <v>251.99098400782728</v>
      </c>
      <c r="D151" s="212">
        <f t="shared" si="86"/>
        <v>0</v>
      </c>
      <c r="E151" s="212">
        <f t="shared" si="83"/>
        <v>8.9999999999999858</v>
      </c>
      <c r="F151" s="213">
        <f t="shared" si="84"/>
        <v>8.9999999999999858</v>
      </c>
      <c r="G151" s="211">
        <f t="shared" si="85"/>
        <v>17.174999999999983</v>
      </c>
      <c r="H151" s="209">
        <f t="shared" si="43"/>
        <v>1.2176812104106756</v>
      </c>
    </row>
    <row r="152" spans="1:8" ht="16.5" customHeight="1">
      <c r="A152" s="234" t="str">
        <f>'Despesas Indireta'!A152</f>
        <v>OUTUBRO|15</v>
      </c>
      <c r="B152" s="233">
        <f t="shared" si="82"/>
        <v>4065.5721377854843</v>
      </c>
      <c r="C152" s="207">
        <f t="shared" si="87"/>
        <v>251.99098400782728</v>
      </c>
      <c r="D152" s="212">
        <f t="shared" si="86"/>
        <v>0</v>
      </c>
      <c r="E152" s="212">
        <f t="shared" si="83"/>
        <v>8.9999999999999858</v>
      </c>
      <c r="F152" s="213">
        <f t="shared" si="84"/>
        <v>8.9999999999999858</v>
      </c>
      <c r="G152" s="211">
        <f t="shared" si="85"/>
        <v>17.174999999999983</v>
      </c>
      <c r="H152" s="209">
        <f t="shared" si="43"/>
        <v>1.2176812104106756</v>
      </c>
    </row>
    <row r="153" spans="1:8" ht="16.5" customHeight="1">
      <c r="A153" s="234" t="str">
        <f>'Despesas Indireta'!A153</f>
        <v>NOVEMBRO|15</v>
      </c>
      <c r="B153" s="233">
        <f t="shared" si="82"/>
        <v>4065.5721377854843</v>
      </c>
      <c r="C153" s="207">
        <f t="shared" si="87"/>
        <v>251.99098400782728</v>
      </c>
      <c r="D153" s="212">
        <f t="shared" si="86"/>
        <v>0</v>
      </c>
      <c r="E153" s="212">
        <f t="shared" si="83"/>
        <v>8.9999999999999858</v>
      </c>
      <c r="F153" s="213">
        <f t="shared" si="84"/>
        <v>8.9999999999999858</v>
      </c>
      <c r="G153" s="211">
        <f t="shared" si="85"/>
        <v>17.174999999999983</v>
      </c>
      <c r="H153" s="209">
        <f t="shared" si="43"/>
        <v>1.2176812104106756</v>
      </c>
    </row>
    <row r="154" spans="1:8" ht="16.5" customHeight="1">
      <c r="A154" s="234" t="str">
        <f>'Despesas Indireta'!A154</f>
        <v>DEZEMBRO|15</v>
      </c>
      <c r="B154" s="233">
        <f t="shared" si="82"/>
        <v>4065.5721377854843</v>
      </c>
      <c r="C154" s="207">
        <f t="shared" si="87"/>
        <v>251.99098400782728</v>
      </c>
      <c r="D154" s="212">
        <f t="shared" si="86"/>
        <v>0</v>
      </c>
      <c r="E154" s="212">
        <f t="shared" si="83"/>
        <v>8.9999999999999858</v>
      </c>
      <c r="F154" s="213">
        <f t="shared" si="84"/>
        <v>8.9999999999999858</v>
      </c>
      <c r="G154" s="211">
        <f t="shared" si="85"/>
        <v>17.174999999999983</v>
      </c>
      <c r="H154" s="209">
        <f t="shared" si="43"/>
        <v>1.2176812104106756</v>
      </c>
    </row>
    <row r="155" spans="1:8" ht="16.5" customHeight="1">
      <c r="A155" s="234" t="str">
        <f>'Despesas Indireta'!A155</f>
        <v>JANEIRO|16</v>
      </c>
      <c r="B155" s="233">
        <f t="shared" si="82"/>
        <v>4065.5721377854843</v>
      </c>
      <c r="C155" s="207">
        <f t="shared" si="87"/>
        <v>251.99098400782728</v>
      </c>
      <c r="D155" s="212">
        <f t="shared" si="86"/>
        <v>0</v>
      </c>
      <c r="E155" s="212">
        <f t="shared" ref="E155:E160" si="88">100*(B155/B$154-1)</f>
        <v>0</v>
      </c>
      <c r="F155" s="213">
        <f t="shared" ref="F155:F160" si="89">(100*(B155/B143-1))</f>
        <v>8.9999999999999858</v>
      </c>
      <c r="G155" s="211">
        <f t="shared" ref="G155:G160" si="90">100*(B155/B131-1)</f>
        <v>17.174999999999983</v>
      </c>
      <c r="H155" s="209">
        <f t="shared" si="43"/>
        <v>1.2176812104106756</v>
      </c>
    </row>
    <row r="156" spans="1:8" ht="16.5" customHeight="1">
      <c r="A156" s="234" t="str">
        <f>'Despesas Indireta'!A156</f>
        <v>FEVEREIRO|16</v>
      </c>
      <c r="B156" s="233">
        <f t="shared" si="82"/>
        <v>4065.5721377854843</v>
      </c>
      <c r="C156" s="207">
        <f t="shared" si="87"/>
        <v>251.99098400782728</v>
      </c>
      <c r="D156" s="212">
        <f t="shared" ref="D156:D161" si="91">100*(B156/B155-1)</f>
        <v>0</v>
      </c>
      <c r="E156" s="212">
        <f t="shared" si="88"/>
        <v>0</v>
      </c>
      <c r="F156" s="213">
        <f t="shared" si="89"/>
        <v>8.9999999999999858</v>
      </c>
      <c r="G156" s="211">
        <f t="shared" si="90"/>
        <v>17.174999999999983</v>
      </c>
      <c r="H156" s="209">
        <f t="shared" si="43"/>
        <v>1.2176812104106756</v>
      </c>
    </row>
    <row r="157" spans="1:8" ht="16.5" customHeight="1">
      <c r="A157" s="234" t="str">
        <f>'Despesas Indireta'!A157</f>
        <v>MARÇO|16</v>
      </c>
      <c r="B157" s="233">
        <f t="shared" si="82"/>
        <v>4065.5721377854843</v>
      </c>
      <c r="C157" s="207">
        <f t="shared" si="87"/>
        <v>251.99098400782728</v>
      </c>
      <c r="D157" s="212">
        <f t="shared" si="91"/>
        <v>0</v>
      </c>
      <c r="E157" s="212">
        <f t="shared" si="88"/>
        <v>0</v>
      </c>
      <c r="F157" s="213">
        <f t="shared" si="89"/>
        <v>8.9999999999999858</v>
      </c>
      <c r="G157" s="211">
        <f t="shared" si="90"/>
        <v>17.174999999999983</v>
      </c>
      <c r="H157" s="209">
        <f t="shared" si="43"/>
        <v>1.2176812104106756</v>
      </c>
    </row>
    <row r="158" spans="1:8" ht="16.5" customHeight="1">
      <c r="A158" s="234" t="str">
        <f>'Despesas Indireta'!A158</f>
        <v>ABRIL|16</v>
      </c>
      <c r="B158" s="233">
        <f t="shared" si="82"/>
        <v>4065.5721377854843</v>
      </c>
      <c r="C158" s="207">
        <f t="shared" ref="C158:C164" si="92">100*B158/B$8</f>
        <v>251.99098400782728</v>
      </c>
      <c r="D158" s="212">
        <f t="shared" si="91"/>
        <v>0</v>
      </c>
      <c r="E158" s="212">
        <f t="shared" si="88"/>
        <v>0</v>
      </c>
      <c r="F158" s="213">
        <f t="shared" si="89"/>
        <v>8.9999999999999858</v>
      </c>
      <c r="G158" s="211">
        <f t="shared" si="90"/>
        <v>17.174999999999983</v>
      </c>
      <c r="H158" s="209">
        <f t="shared" si="43"/>
        <v>1.2176812104106756</v>
      </c>
    </row>
    <row r="159" spans="1:8" ht="16.5" customHeight="1">
      <c r="A159" s="234" t="str">
        <f>'Despesas Indireta'!A159</f>
        <v>MAIO|16</v>
      </c>
      <c r="B159" s="233">
        <f>$B$122*(1.09+0.01)*1.075*(1+8.34%+0.66%)*(1+7%)</f>
        <v>4350.1621874304683</v>
      </c>
      <c r="C159" s="207">
        <f t="shared" si="92"/>
        <v>269.63035288837517</v>
      </c>
      <c r="D159" s="212">
        <f t="shared" si="91"/>
        <v>7.0000000000000062</v>
      </c>
      <c r="E159" s="212">
        <f t="shared" si="88"/>
        <v>7.0000000000000062</v>
      </c>
      <c r="F159" s="213">
        <f t="shared" si="89"/>
        <v>7.651836810042445</v>
      </c>
      <c r="G159" s="211">
        <f t="shared" si="90"/>
        <v>16.629999999999988</v>
      </c>
      <c r="H159" s="209">
        <f t="shared" si="43"/>
        <v>1.1380198228137155</v>
      </c>
    </row>
    <row r="160" spans="1:8" ht="16.5" customHeight="1">
      <c r="A160" s="234" t="str">
        <f>'Despesas Indireta'!A160</f>
        <v>JUNHO|16</v>
      </c>
      <c r="B160" s="233">
        <f t="shared" ref="B160:B170" si="93">$B$122*(1.09+0.01)*1.075*(1+8.34%+0.66%)*(1+(7%+1.72%))</f>
        <v>4420.0900282003786</v>
      </c>
      <c r="C160" s="207">
        <f t="shared" si="92"/>
        <v>273.96459781330987</v>
      </c>
      <c r="D160" s="212">
        <f t="shared" si="91"/>
        <v>1.6074766355140158</v>
      </c>
      <c r="E160" s="212">
        <f t="shared" si="88"/>
        <v>8.7199999999999953</v>
      </c>
      <c r="F160" s="213">
        <f t="shared" si="89"/>
        <v>8.7199999999999953</v>
      </c>
      <c r="G160" s="211">
        <f t="shared" si="90"/>
        <v>18.504799999999989</v>
      </c>
      <c r="H160" s="209">
        <f t="shared" si="43"/>
        <v>1.1200158300318945</v>
      </c>
    </row>
    <row r="161" spans="1:10" ht="16.5" customHeight="1">
      <c r="A161" s="234" t="str">
        <f>'Despesas Indireta'!A161</f>
        <v>JULHO|16</v>
      </c>
      <c r="B161" s="233">
        <f t="shared" si="93"/>
        <v>4420.0900282003786</v>
      </c>
      <c r="C161" s="207">
        <f t="shared" si="92"/>
        <v>273.96459781330987</v>
      </c>
      <c r="D161" s="212">
        <f t="shared" si="91"/>
        <v>0</v>
      </c>
      <c r="E161" s="212">
        <f t="shared" ref="E161" si="94">100*(B161/B$154-1)</f>
        <v>8.7199999999999953</v>
      </c>
      <c r="F161" s="213">
        <f t="shared" ref="F161" si="95">(100*(B161/B149-1))</f>
        <v>8.7199999999999953</v>
      </c>
      <c r="G161" s="211">
        <f t="shared" ref="G161" si="96">100*(B161/B137-1)</f>
        <v>18.504799999999989</v>
      </c>
      <c r="H161" s="209">
        <f t="shared" ref="H161:H211" si="97">+B$211/B161</f>
        <v>1.1200158300318945</v>
      </c>
    </row>
    <row r="162" spans="1:10" ht="16.5" customHeight="1">
      <c r="A162" s="234" t="str">
        <f>'Despesas Indireta'!A162</f>
        <v>AGOSTO|16</v>
      </c>
      <c r="B162" s="233">
        <f t="shared" si="93"/>
        <v>4420.0900282003786</v>
      </c>
      <c r="C162" s="207">
        <f t="shared" si="92"/>
        <v>273.96459781330987</v>
      </c>
      <c r="D162" s="212">
        <f t="shared" ref="D162" si="98">100*(B162/B161-1)</f>
        <v>0</v>
      </c>
      <c r="E162" s="212">
        <f t="shared" ref="E162" si="99">100*(B162/B$154-1)</f>
        <v>8.7199999999999953</v>
      </c>
      <c r="F162" s="213">
        <f t="shared" ref="F162" si="100">(100*(B162/B150-1))</f>
        <v>8.7199999999999953</v>
      </c>
      <c r="G162" s="211">
        <f t="shared" ref="G162" si="101">100*(B162/B138-1)</f>
        <v>18.504799999999989</v>
      </c>
      <c r="H162" s="209">
        <f t="shared" si="97"/>
        <v>1.1200158300318945</v>
      </c>
    </row>
    <row r="163" spans="1:10" ht="16.5" customHeight="1">
      <c r="A163" s="234" t="str">
        <f>'Despesas Indireta'!A163</f>
        <v>SETEMBRO|16</v>
      </c>
      <c r="B163" s="233">
        <f t="shared" si="93"/>
        <v>4420.0900282003786</v>
      </c>
      <c r="C163" s="207">
        <f t="shared" si="92"/>
        <v>273.96459781330987</v>
      </c>
      <c r="D163" s="212">
        <f t="shared" ref="D163" si="102">100*(B163/B162-1)</f>
        <v>0</v>
      </c>
      <c r="E163" s="212">
        <f t="shared" ref="E163" si="103">100*(B163/B$154-1)</f>
        <v>8.7199999999999953</v>
      </c>
      <c r="F163" s="213">
        <f t="shared" ref="F163" si="104">(100*(B163/B151-1))</f>
        <v>8.7199999999999953</v>
      </c>
      <c r="G163" s="211">
        <f t="shared" ref="G163" si="105">100*(B163/B139-1)</f>
        <v>18.504799999999989</v>
      </c>
      <c r="H163" s="209">
        <f t="shared" si="97"/>
        <v>1.1200158300318945</v>
      </c>
    </row>
    <row r="164" spans="1:10" ht="16.5" customHeight="1">
      <c r="A164" s="234" t="str">
        <f>'Despesas Indireta'!A164</f>
        <v>OUTUBRO|16</v>
      </c>
      <c r="B164" s="233">
        <f t="shared" si="93"/>
        <v>4420.0900282003786</v>
      </c>
      <c r="C164" s="207">
        <f t="shared" si="92"/>
        <v>273.96459781330987</v>
      </c>
      <c r="D164" s="212">
        <f t="shared" ref="D164" si="106">100*(B164/B163-1)</f>
        <v>0</v>
      </c>
      <c r="E164" s="212">
        <f t="shared" ref="E164" si="107">100*(B164/B$154-1)</f>
        <v>8.7199999999999953</v>
      </c>
      <c r="F164" s="213">
        <f t="shared" ref="F164" si="108">(100*(B164/B152-1))</f>
        <v>8.7199999999999953</v>
      </c>
      <c r="G164" s="211">
        <f t="shared" ref="G164" si="109">100*(B164/B140-1)</f>
        <v>18.504799999999989</v>
      </c>
      <c r="H164" s="209">
        <f t="shared" si="97"/>
        <v>1.1200158300318945</v>
      </c>
    </row>
    <row r="165" spans="1:10" ht="16.5" customHeight="1">
      <c r="A165" s="234" t="str">
        <f>'Despesas Indireta'!A165</f>
        <v>NOVEMBRO|16</v>
      </c>
      <c r="B165" s="233">
        <f t="shared" si="93"/>
        <v>4420.0900282003786</v>
      </c>
      <c r="C165" s="207">
        <f t="shared" ref="C165" si="110">100*B165/B$8</f>
        <v>273.96459781330987</v>
      </c>
      <c r="D165" s="212">
        <f t="shared" ref="D165" si="111">100*(B165/B164-1)</f>
        <v>0</v>
      </c>
      <c r="E165" s="212">
        <f t="shared" ref="E165" si="112">100*(B165/B$154-1)</f>
        <v>8.7199999999999953</v>
      </c>
      <c r="F165" s="213">
        <f t="shared" ref="F165" si="113">(100*(B165/B153-1))</f>
        <v>8.7199999999999953</v>
      </c>
      <c r="G165" s="211">
        <f t="shared" ref="G165" si="114">100*(B165/B141-1)</f>
        <v>18.504799999999989</v>
      </c>
      <c r="H165" s="209">
        <f t="shared" si="97"/>
        <v>1.1200158300318945</v>
      </c>
    </row>
    <row r="166" spans="1:10" ht="16.5" customHeight="1">
      <c r="A166" s="234" t="str">
        <f>'Despesas Indireta'!A166</f>
        <v>DEZEMBRO|16</v>
      </c>
      <c r="B166" s="233">
        <f t="shared" si="93"/>
        <v>4420.0900282003786</v>
      </c>
      <c r="C166" s="207">
        <f t="shared" ref="C166" si="115">100*B166/B$8</f>
        <v>273.96459781330987</v>
      </c>
      <c r="D166" s="212">
        <f t="shared" ref="D166" si="116">100*(B166/B165-1)</f>
        <v>0</v>
      </c>
      <c r="E166" s="212">
        <f t="shared" ref="E166" si="117">100*(B166/B$154-1)</f>
        <v>8.7199999999999953</v>
      </c>
      <c r="F166" s="213">
        <f t="shared" ref="F166" si="118">(100*(B166/B154-1))</f>
        <v>8.7199999999999953</v>
      </c>
      <c r="G166" s="211">
        <f t="shared" ref="G166" si="119">100*(B166/B142-1)</f>
        <v>18.504799999999989</v>
      </c>
      <c r="H166" s="209">
        <f t="shared" si="97"/>
        <v>1.1200158300318945</v>
      </c>
    </row>
    <row r="167" spans="1:10" ht="16.5" customHeight="1">
      <c r="A167" s="234" t="str">
        <f>'Despesas Indireta'!A167</f>
        <v>JANEIRO|17</v>
      </c>
      <c r="B167" s="233">
        <f t="shared" si="93"/>
        <v>4420.0900282003786</v>
      </c>
      <c r="C167" s="207">
        <f t="shared" ref="C167" si="120">100*B167/B$8</f>
        <v>273.96459781330987</v>
      </c>
      <c r="D167" s="212">
        <f t="shared" ref="D167" si="121">100*(B167/B166-1)</f>
        <v>0</v>
      </c>
      <c r="E167" s="212">
        <f t="shared" ref="E167:E172" si="122">100*(B167/B$166-1)</f>
        <v>0</v>
      </c>
      <c r="F167" s="213">
        <f t="shared" ref="F167" si="123">(100*(B167/B155-1))</f>
        <v>8.7199999999999953</v>
      </c>
      <c r="G167" s="211">
        <f t="shared" ref="G167" si="124">100*(B167/B143-1)</f>
        <v>18.504799999999989</v>
      </c>
      <c r="H167" s="209">
        <f t="shared" si="97"/>
        <v>1.1200158300318945</v>
      </c>
    </row>
    <row r="168" spans="1:10" ht="16.5" customHeight="1">
      <c r="A168" s="234" t="str">
        <f>'Despesas Indireta'!A168</f>
        <v>FEVEREIRO|17</v>
      </c>
      <c r="B168" s="233">
        <f t="shared" si="93"/>
        <v>4420.0900282003786</v>
      </c>
      <c r="C168" s="207">
        <f t="shared" ref="C168" si="125">100*B168/B$8</f>
        <v>273.96459781330987</v>
      </c>
      <c r="D168" s="212">
        <f t="shared" ref="D168" si="126">100*(B168/B167-1)</f>
        <v>0</v>
      </c>
      <c r="E168" s="212">
        <f t="shared" si="122"/>
        <v>0</v>
      </c>
      <c r="F168" s="213">
        <f t="shared" ref="F168" si="127">(100*(B168/B156-1))</f>
        <v>8.7199999999999953</v>
      </c>
      <c r="G168" s="211">
        <f t="shared" ref="G168" si="128">100*(B168/B144-1)</f>
        <v>18.504799999999989</v>
      </c>
      <c r="H168" s="209">
        <f t="shared" si="97"/>
        <v>1.1200158300318945</v>
      </c>
    </row>
    <row r="169" spans="1:10" ht="16.5" customHeight="1">
      <c r="A169" s="234" t="str">
        <f>'Despesas Indireta'!A169</f>
        <v>MARÇO|17</v>
      </c>
      <c r="B169" s="233">
        <f t="shared" si="93"/>
        <v>4420.0900282003786</v>
      </c>
      <c r="C169" s="207">
        <f t="shared" ref="C169" si="129">100*B169/B$8</f>
        <v>273.96459781330987</v>
      </c>
      <c r="D169" s="212">
        <f t="shared" ref="D169" si="130">100*(B169/B168-1)</f>
        <v>0</v>
      </c>
      <c r="E169" s="212">
        <f t="shared" si="122"/>
        <v>0</v>
      </c>
      <c r="F169" s="213">
        <f t="shared" ref="F169" si="131">(100*(B169/B157-1))</f>
        <v>8.7199999999999953</v>
      </c>
      <c r="G169" s="211">
        <f t="shared" ref="G169" si="132">100*(B169/B145-1)</f>
        <v>18.504799999999989</v>
      </c>
      <c r="H169" s="209">
        <f t="shared" si="97"/>
        <v>1.1200158300318945</v>
      </c>
    </row>
    <row r="170" spans="1:10" ht="16.5" customHeight="1">
      <c r="A170" s="234" t="str">
        <f>'Despesas Indireta'!A170</f>
        <v>ABRIL|17</v>
      </c>
      <c r="B170" s="233">
        <f t="shared" si="93"/>
        <v>4420.0900282003786</v>
      </c>
      <c r="C170" s="207">
        <f t="shared" ref="C170" si="133">100*B170/B$8</f>
        <v>273.96459781330987</v>
      </c>
      <c r="D170" s="212">
        <f t="shared" ref="D170" si="134">100*(B170/B169-1)</f>
        <v>0</v>
      </c>
      <c r="E170" s="212">
        <f t="shared" si="122"/>
        <v>0</v>
      </c>
      <c r="F170" s="213">
        <f t="shared" ref="F170" si="135">(100*(B170/B158-1))</f>
        <v>8.7199999999999953</v>
      </c>
      <c r="G170" s="211">
        <f t="shared" ref="G170" si="136">100*(B170/B146-1)</f>
        <v>18.504799999999989</v>
      </c>
      <c r="H170" s="209">
        <f t="shared" si="97"/>
        <v>1.1200158300318945</v>
      </c>
    </row>
    <row r="171" spans="1:10" ht="16.5" customHeight="1">
      <c r="A171" s="234" t="str">
        <f>'Despesas Indireta'!A171</f>
        <v>MAIO|17</v>
      </c>
      <c r="B171" s="233">
        <f>$B$122*(1.09+0.01)*1.075*(1+8.34%+0.66%)*(1+(7%+1.72%))*(1+[257]INPCIBGE!$F$287/100)</f>
        <v>4596.3269759020613</v>
      </c>
      <c r="C171" s="207">
        <f t="shared" ref="C171" si="137">100*B171/B$8</f>
        <v>284.88805959551132</v>
      </c>
      <c r="D171" s="212">
        <f t="shared" ref="D171" si="138">100*(B171/B170-1)</f>
        <v>3.9871800478560981</v>
      </c>
      <c r="E171" s="212">
        <f t="shared" si="122"/>
        <v>3.9871800478560981</v>
      </c>
      <c r="F171" s="213">
        <f t="shared" ref="F171" si="139">(100*(B171/B159-1))</f>
        <v>5.6587496710552854</v>
      </c>
      <c r="G171" s="211">
        <f t="shared" ref="G171" si="140">100*(B171/B147-1)</f>
        <v>13.743584771415707</v>
      </c>
      <c r="H171" s="209">
        <f t="shared" si="97"/>
        <v>1.0770710673339254</v>
      </c>
      <c r="J171" s="150">
        <f>[257]INPCIBGE!$F$287/100</f>
        <v>3.9871800478560981E-2</v>
      </c>
    </row>
    <row r="172" spans="1:10" ht="16.5" customHeight="1">
      <c r="A172" s="234" t="str">
        <f>'Despesas Indireta'!A172</f>
        <v>JUNHO|17</v>
      </c>
      <c r="B172" s="233">
        <f>$B$122*(1.09+0.01)*1.075*(1+8.34%+0.66%)*(1+(7%+1.72%))*(1+([257]INPCIBGE!$F$287/100)+0.01%)</f>
        <v>4596.7689849048811</v>
      </c>
      <c r="C172" s="207">
        <f t="shared" ref="C172" si="141">100*B172/B$8</f>
        <v>284.91545605529268</v>
      </c>
      <c r="D172" s="212">
        <f t="shared" ref="D172" si="142">100*(B172/B171-1)</f>
        <v>9.6165700381511954E-3</v>
      </c>
      <c r="E172" s="212">
        <f t="shared" si="122"/>
        <v>3.997180047856097</v>
      </c>
      <c r="F172" s="213">
        <f t="shared" ref="F172" si="143">(100*(B172/B160-1))</f>
        <v>3.997180047856097</v>
      </c>
      <c r="G172" s="211">
        <f t="shared" ref="G172" si="144">100*(B172/B148-1)</f>
        <v>13.065734148029161</v>
      </c>
      <c r="H172" s="209">
        <f t="shared" si="97"/>
        <v>1.0769674999999999</v>
      </c>
      <c r="J172" s="150"/>
    </row>
    <row r="173" spans="1:10" ht="16.5" customHeight="1">
      <c r="A173" s="234" t="str">
        <f>'Despesas Indireta'!A173</f>
        <v>JULHO|17</v>
      </c>
      <c r="B173" s="233">
        <f>$B$122*(1.09+0.01)*1.075*(1+8.34%+0.66%)*(1+(7%+1.72%))*(1+([257]INPCIBGE!$F$287/100)+0.01%)</f>
        <v>4596.7689849048811</v>
      </c>
      <c r="C173" s="207">
        <f t="shared" ref="C173" si="145">100*B173/B$8</f>
        <v>284.91545605529268</v>
      </c>
      <c r="D173" s="212">
        <f t="shared" ref="D173" si="146">100*(B173/B172-1)</f>
        <v>0</v>
      </c>
      <c r="E173" s="212">
        <f t="shared" ref="E173" si="147">100*(B173/B$166-1)</f>
        <v>3.997180047856097</v>
      </c>
      <c r="F173" s="213">
        <f t="shared" ref="F173" si="148">(100*(B173/B161-1))</f>
        <v>3.997180047856097</v>
      </c>
      <c r="G173" s="211">
        <f t="shared" ref="G173" si="149">100*(B173/B149-1)</f>
        <v>13.065734148029161</v>
      </c>
      <c r="H173" s="209">
        <f t="shared" si="97"/>
        <v>1.0769674999999999</v>
      </c>
      <c r="J173" s="150"/>
    </row>
    <row r="174" spans="1:10" ht="16.5" customHeight="1">
      <c r="A174" s="234" t="str">
        <f>'Despesas Indireta'!A174</f>
        <v>AGOSTO|17</v>
      </c>
      <c r="B174" s="233">
        <f>$B$122*(1.09+0.01)*1.075*(1+8.34%+0.66%)*(1+(7%+1.72%))*(1+([257]INPCIBGE!$F$287/100)+0.01%)</f>
        <v>4596.7689849048811</v>
      </c>
      <c r="C174" s="207">
        <f t="shared" ref="C174" si="150">100*B174/B$8</f>
        <v>284.91545605529268</v>
      </c>
      <c r="D174" s="212">
        <f t="shared" ref="D174" si="151">100*(B174/B173-1)</f>
        <v>0</v>
      </c>
      <c r="E174" s="212">
        <f t="shared" ref="E174" si="152">100*(B174/B$166-1)</f>
        <v>3.997180047856097</v>
      </c>
      <c r="F174" s="213">
        <f t="shared" ref="F174" si="153">(100*(B174/B162-1))</f>
        <v>3.997180047856097</v>
      </c>
      <c r="G174" s="211">
        <f t="shared" ref="G174" si="154">100*(B174/B150-1)</f>
        <v>13.065734148029161</v>
      </c>
      <c r="H174" s="209">
        <f t="shared" si="97"/>
        <v>1.0769674999999999</v>
      </c>
      <c r="J174" s="150"/>
    </row>
    <row r="175" spans="1:10" ht="16.5" customHeight="1">
      <c r="A175" s="234" t="str">
        <f>'Despesas Indireta'!A175</f>
        <v>SETEMBRO|17</v>
      </c>
      <c r="B175" s="233">
        <f>$B$122*(1.09+0.01)*1.075*(1+8.34%+0.66%)*(1+(7%+1.72%))*(1+([257]INPCIBGE!$F$287/100)+0.01%)</f>
        <v>4596.7689849048811</v>
      </c>
      <c r="C175" s="207">
        <f t="shared" ref="C175" si="155">100*B175/B$8</f>
        <v>284.91545605529268</v>
      </c>
      <c r="D175" s="212">
        <f t="shared" ref="D175" si="156">100*(B175/B174-1)</f>
        <v>0</v>
      </c>
      <c r="E175" s="212">
        <f t="shared" ref="E175" si="157">100*(B175/B$166-1)</f>
        <v>3.997180047856097</v>
      </c>
      <c r="F175" s="213">
        <f t="shared" ref="F175" si="158">(100*(B175/B163-1))</f>
        <v>3.997180047856097</v>
      </c>
      <c r="G175" s="211">
        <f t="shared" ref="G175" si="159">100*(B175/B151-1)</f>
        <v>13.065734148029161</v>
      </c>
      <c r="H175" s="209">
        <f t="shared" si="97"/>
        <v>1.0769674999999999</v>
      </c>
      <c r="J175" s="150"/>
    </row>
    <row r="176" spans="1:10" ht="16.5" customHeight="1">
      <c r="A176" s="234" t="str">
        <f>'Despesas Indireta'!A176</f>
        <v>OUTUBRO|17</v>
      </c>
      <c r="B176" s="233">
        <f>$B$122*(1.09+0.01)*1.075*(1+8.34%+0.66%)*(1+(7%+1.72%))*(1+([257]INPCIBGE!$F$287/100)+0.01%)</f>
        <v>4596.7689849048811</v>
      </c>
      <c r="C176" s="207">
        <f t="shared" ref="C176" si="160">100*B176/B$8</f>
        <v>284.91545605529268</v>
      </c>
      <c r="D176" s="212">
        <f t="shared" ref="D176" si="161">100*(B176/B175-1)</f>
        <v>0</v>
      </c>
      <c r="E176" s="212">
        <f t="shared" ref="E176" si="162">100*(B176/B$166-1)</f>
        <v>3.997180047856097</v>
      </c>
      <c r="F176" s="213">
        <f t="shared" ref="F176" si="163">(100*(B176/B164-1))</f>
        <v>3.997180047856097</v>
      </c>
      <c r="G176" s="211">
        <f t="shared" ref="G176" si="164">100*(B176/B152-1)</f>
        <v>13.065734148029161</v>
      </c>
      <c r="H176" s="209">
        <f t="shared" si="97"/>
        <v>1.0769674999999999</v>
      </c>
      <c r="J176" s="150"/>
    </row>
    <row r="177" spans="1:10" ht="16.5" customHeight="1">
      <c r="A177" s="234" t="str">
        <f>'Despesas Indireta'!A177</f>
        <v>NOVEMBRO|17</v>
      </c>
      <c r="B177" s="233">
        <f>$B$122*(1.09+0.01)*1.075*(1+8.34%+0.66%)*(1+(7%+1.72%))*(1+([257]INPCIBGE!$F$287/100)+0.01%)</f>
        <v>4596.7689849048811</v>
      </c>
      <c r="C177" s="207">
        <f t="shared" ref="C177" si="165">100*B177/B$8</f>
        <v>284.91545605529268</v>
      </c>
      <c r="D177" s="212">
        <f t="shared" ref="D177" si="166">100*(B177/B176-1)</f>
        <v>0</v>
      </c>
      <c r="E177" s="212">
        <f t="shared" ref="E177" si="167">100*(B177/B$166-1)</f>
        <v>3.997180047856097</v>
      </c>
      <c r="F177" s="213">
        <f t="shared" ref="F177" si="168">(100*(B177/B165-1))</f>
        <v>3.997180047856097</v>
      </c>
      <c r="G177" s="211">
        <f t="shared" ref="G177" si="169">100*(B177/B153-1)</f>
        <v>13.065734148029161</v>
      </c>
      <c r="H177" s="209">
        <f t="shared" si="97"/>
        <v>1.0769674999999999</v>
      </c>
      <c r="J177" s="150"/>
    </row>
    <row r="178" spans="1:10" ht="16.5" customHeight="1">
      <c r="A178" s="234" t="str">
        <f>'Despesas Indireta'!A178</f>
        <v>DEZEMBRO|17</v>
      </c>
      <c r="B178" s="233">
        <f>$B$122*(1.09+0.01)*1.075*(1+8.34%+0.66%)*(1+(7%+1.72%))*(1+([257]INPCIBGE!$F$287/100)+0.01%)</f>
        <v>4596.7689849048811</v>
      </c>
      <c r="C178" s="207">
        <f t="shared" ref="C178" si="170">100*B178/B$8</f>
        <v>284.91545605529268</v>
      </c>
      <c r="D178" s="212">
        <f t="shared" ref="D178" si="171">100*(B178/B177-1)</f>
        <v>0</v>
      </c>
      <c r="E178" s="212">
        <f t="shared" ref="E178" si="172">100*(B178/B$166-1)</f>
        <v>3.997180047856097</v>
      </c>
      <c r="F178" s="213">
        <f t="shared" ref="F178" si="173">(100*(B178/B166-1))</f>
        <v>3.997180047856097</v>
      </c>
      <c r="G178" s="211">
        <f t="shared" ref="G178" si="174">100*(B178/B154-1)</f>
        <v>13.065734148029161</v>
      </c>
      <c r="H178" s="209">
        <f t="shared" si="97"/>
        <v>1.0769674999999999</v>
      </c>
      <c r="J178" s="150"/>
    </row>
    <row r="179" spans="1:10" ht="16.5" customHeight="1">
      <c r="A179" s="234" t="str">
        <f>'Despesas Indireta'!A179</f>
        <v>JANEIRO|18</v>
      </c>
      <c r="B179" s="233">
        <f>$B$122*(1.09+0.01)*1.075*(1+8.34%+0.66%)*(1+(7%+1.72%))*(1+([257]INPCIBGE!$F$287/100)+0.01%)</f>
        <v>4596.7689849048811</v>
      </c>
      <c r="C179" s="207">
        <f t="shared" ref="C179" si="175">100*B179/B$8</f>
        <v>284.91545605529268</v>
      </c>
      <c r="D179" s="212">
        <f t="shared" ref="D179" si="176">100*(B179/B178-1)</f>
        <v>0</v>
      </c>
      <c r="E179" s="212">
        <f t="shared" ref="E179:E184" si="177">100*(B179/B$178-1)</f>
        <v>0</v>
      </c>
      <c r="F179" s="213">
        <f t="shared" ref="F179" si="178">(100*(B179/B167-1))</f>
        <v>3.997180047856097</v>
      </c>
      <c r="G179" s="211">
        <f t="shared" ref="G179" si="179">100*(B179/B155-1)</f>
        <v>13.065734148029161</v>
      </c>
      <c r="H179" s="209">
        <f t="shared" si="97"/>
        <v>1.0769674999999999</v>
      </c>
      <c r="J179" s="150"/>
    </row>
    <row r="180" spans="1:10" ht="16.5" customHeight="1">
      <c r="A180" s="234" t="str">
        <f>'Despesas Indireta'!A180</f>
        <v>FEVEREIRO|18</v>
      </c>
      <c r="B180" s="233">
        <f>$B$122*(1.09+0.01)*1.075*(1+8.34%+0.66%)*(1+(7%+1.72%))*(1+([257]INPCIBGE!$F$287/100)+0.01%)</f>
        <v>4596.7689849048811</v>
      </c>
      <c r="C180" s="207">
        <f t="shared" ref="C180" si="180">100*B180/B$8</f>
        <v>284.91545605529268</v>
      </c>
      <c r="D180" s="212">
        <f t="shared" ref="D180" si="181">100*(B180/B179-1)</f>
        <v>0</v>
      </c>
      <c r="E180" s="212">
        <f t="shared" si="177"/>
        <v>0</v>
      </c>
      <c r="F180" s="213">
        <f t="shared" ref="F180" si="182">(100*(B180/B168-1))</f>
        <v>3.997180047856097</v>
      </c>
      <c r="G180" s="211">
        <f t="shared" ref="G180" si="183">100*(B180/B156-1)</f>
        <v>13.065734148029161</v>
      </c>
      <c r="H180" s="209">
        <f t="shared" si="97"/>
        <v>1.0769674999999999</v>
      </c>
      <c r="J180" s="150"/>
    </row>
    <row r="181" spans="1:10" ht="16.5" customHeight="1">
      <c r="A181" s="234" t="str">
        <f>'Despesas Indireta'!A181</f>
        <v>MARÇO|18</v>
      </c>
      <c r="B181" s="233">
        <f>$B$122*(1.09+0.01)*1.075*(1+8.34%+0.66%)*(1+(7%+1.72%))*(1+([257]INPCIBGE!$F$287/100)+0.01%)</f>
        <v>4596.7689849048811</v>
      </c>
      <c r="C181" s="207">
        <f t="shared" ref="C181" si="184">100*B181/B$8</f>
        <v>284.91545605529268</v>
      </c>
      <c r="D181" s="212">
        <f t="shared" ref="D181" si="185">100*(B181/B180-1)</f>
        <v>0</v>
      </c>
      <c r="E181" s="212">
        <f t="shared" si="177"/>
        <v>0</v>
      </c>
      <c r="F181" s="213">
        <f t="shared" ref="F181" si="186">(100*(B181/B169-1))</f>
        <v>3.997180047856097</v>
      </c>
      <c r="G181" s="211">
        <f t="shared" ref="G181" si="187">100*(B181/B157-1)</f>
        <v>13.065734148029161</v>
      </c>
      <c r="H181" s="209">
        <f t="shared" si="97"/>
        <v>1.0769674999999999</v>
      </c>
      <c r="J181" s="150"/>
    </row>
    <row r="182" spans="1:10" ht="16.5" customHeight="1">
      <c r="A182" s="234" t="str">
        <f>'Despesas Indireta'!A182</f>
        <v>ABRIL|18</v>
      </c>
      <c r="B182" s="233">
        <f>$B$122*(1.09+0.01)*1.075*(1+8.34%+0.66%)*(1+(7%+1.72%))*(1+([257]INPCIBGE!$F$287/100)+0.01%)</f>
        <v>4596.7689849048811</v>
      </c>
      <c r="C182" s="207">
        <f t="shared" ref="C182" si="188">100*B182/B$8</f>
        <v>284.91545605529268</v>
      </c>
      <c r="D182" s="212">
        <f t="shared" ref="D182" si="189">100*(B182/B181-1)</f>
        <v>0</v>
      </c>
      <c r="E182" s="212">
        <f t="shared" si="177"/>
        <v>0</v>
      </c>
      <c r="F182" s="213">
        <f t="shared" ref="F182" si="190">(100*(B182/B170-1))</f>
        <v>3.997180047856097</v>
      </c>
      <c r="G182" s="211">
        <f t="shared" ref="G182" si="191">100*(B182/B158-1)</f>
        <v>13.065734148029161</v>
      </c>
      <c r="H182" s="209">
        <f t="shared" si="97"/>
        <v>1.0769674999999999</v>
      </c>
      <c r="J182" s="150"/>
    </row>
    <row r="183" spans="1:10" ht="16.5" customHeight="1">
      <c r="A183" s="234" t="str">
        <f>'Despesas Indireta'!A183</f>
        <v>MAIO|18</v>
      </c>
      <c r="B183" s="233">
        <f>$B$122*(1.09+0.01)*1.075*(1+8.34%+0.66%)*(1+(7%+1.72%))*(1+([257]INPCIBGE!$F$287/100)+0.01%)</f>
        <v>4596.7689849048811</v>
      </c>
      <c r="C183" s="207">
        <f t="shared" ref="C183" si="192">100*B183/B$8</f>
        <v>284.91545605529268</v>
      </c>
      <c r="D183" s="212">
        <f t="shared" ref="D183" si="193">100*(B183/B182-1)</f>
        <v>0</v>
      </c>
      <c r="E183" s="212">
        <f t="shared" si="177"/>
        <v>0</v>
      </c>
      <c r="F183" s="213">
        <f t="shared" ref="F183" si="194">(100*(B183/B171-1))</f>
        <v>9.6165700381511954E-3</v>
      </c>
      <c r="G183" s="211">
        <f t="shared" ref="G183" si="195">100*(B183/B159-1)</f>
        <v>5.66891041871882</v>
      </c>
      <c r="H183" s="209">
        <f t="shared" si="97"/>
        <v>1.0769674999999999</v>
      </c>
      <c r="J183" s="150"/>
    </row>
    <row r="184" spans="1:10" ht="16.5" customHeight="1">
      <c r="A184" s="234" t="str">
        <f>'Despesas Indireta'!A184</f>
        <v>JUNHO|18</v>
      </c>
      <c r="B184" s="233">
        <f>$B$122*(1.09+0.01)*1.075*(1+8.34%+0.66%)*(1+(7%+1.72%))*(1+([257]INPCIBGE!$F$287/100)+0.01%)*(1+2.5%)</f>
        <v>4711.6882095275023</v>
      </c>
      <c r="C184" s="207">
        <f t="shared" ref="C184" si="196">100*B184/B$8</f>
        <v>292.03834245667491</v>
      </c>
      <c r="D184" s="212">
        <f t="shared" ref="D184" si="197">100*(B184/B183-1)</f>
        <v>2.4999999999999911</v>
      </c>
      <c r="E184" s="212">
        <f t="shared" si="177"/>
        <v>2.4999999999999911</v>
      </c>
      <c r="F184" s="213">
        <f t="shared" ref="F184" si="198">(100*(B184/B172-1))</f>
        <v>2.4999999999999911</v>
      </c>
      <c r="G184" s="211">
        <f t="shared" ref="G184" si="199">100*(B184/B160-1)</f>
        <v>6.5971095490524823</v>
      </c>
      <c r="H184" s="209">
        <f t="shared" si="97"/>
        <v>1.0507</v>
      </c>
      <c r="I184" s="125" t="s">
        <v>293</v>
      </c>
      <c r="J184" s="150"/>
    </row>
    <row r="185" spans="1:10" ht="16.5" customHeight="1">
      <c r="A185" s="234" t="str">
        <f>'Despesas Indireta'!A185</f>
        <v>JULHO|18</v>
      </c>
      <c r="B185" s="233">
        <f>$B$122*(1.09+0.01)*1.075*(1+8.34%+0.66%)*(1+(7%+1.72%))*(1+([257]INPCIBGE!$F$287/100)+0.01%)*(1+2.5%)</f>
        <v>4711.6882095275023</v>
      </c>
      <c r="C185" s="207">
        <f t="shared" ref="C185" si="200">100*B185/B$8</f>
        <v>292.03834245667491</v>
      </c>
      <c r="D185" s="212">
        <f t="shared" ref="D185" si="201">100*(B185/B184-1)</f>
        <v>0</v>
      </c>
      <c r="E185" s="212">
        <f t="shared" ref="E185" si="202">100*(B185/B$178-1)</f>
        <v>2.4999999999999911</v>
      </c>
      <c r="F185" s="213">
        <f t="shared" ref="F185" si="203">(100*(B185/B173-1))</f>
        <v>2.4999999999999911</v>
      </c>
      <c r="G185" s="211">
        <f t="shared" ref="G185" si="204">100*(B185/B161-1)</f>
        <v>6.5971095490524823</v>
      </c>
      <c r="H185" s="209">
        <f t="shared" si="97"/>
        <v>1.0507</v>
      </c>
      <c r="I185" s="125"/>
      <c r="J185" s="150"/>
    </row>
    <row r="186" spans="1:10" ht="16.5" customHeight="1">
      <c r="A186" s="234" t="str">
        <f>'Despesas Indireta'!A186</f>
        <v>AGOSTO|18</v>
      </c>
      <c r="B186" s="233">
        <f>$B$122*(1.09+0.01)*1.075*(1+8.34%+0.66%)*(1+(7%+1.72%))*(1+([257]INPCIBGE!$F$287/100)+0.01%)*(1+2.5%)</f>
        <v>4711.6882095275023</v>
      </c>
      <c r="C186" s="207">
        <f t="shared" ref="C186" si="205">100*B186/B$8</f>
        <v>292.03834245667491</v>
      </c>
      <c r="D186" s="212">
        <f t="shared" ref="D186" si="206">100*(B186/B185-1)</f>
        <v>0</v>
      </c>
      <c r="E186" s="212">
        <f t="shared" ref="E186" si="207">100*(B186/B$178-1)</f>
        <v>2.4999999999999911</v>
      </c>
      <c r="F186" s="213">
        <f t="shared" ref="F186" si="208">(100*(B186/B174-1))</f>
        <v>2.4999999999999911</v>
      </c>
      <c r="G186" s="211">
        <f t="shared" ref="G186" si="209">100*(B186/B162-1)</f>
        <v>6.5971095490524823</v>
      </c>
      <c r="H186" s="209">
        <f t="shared" si="97"/>
        <v>1.0507</v>
      </c>
      <c r="I186" s="125"/>
      <c r="J186" s="150"/>
    </row>
    <row r="187" spans="1:10" ht="16.5" customHeight="1">
      <c r="A187" s="234" t="str">
        <f>'Despesas Indireta'!A187</f>
        <v>SETEMBRO|18</v>
      </c>
      <c r="B187" s="233">
        <f>$B$122*(1.09+0.01)*1.075*(1+8.34%+0.66%)*(1+(7%+1.72%))*(1+([257]INPCIBGE!$F$287/100)+0.01%)*(1+2.5%)</f>
        <v>4711.6882095275023</v>
      </c>
      <c r="C187" s="207">
        <f t="shared" ref="C187" si="210">100*B187/B$8</f>
        <v>292.03834245667491</v>
      </c>
      <c r="D187" s="212">
        <f t="shared" ref="D187" si="211">100*(B187/B186-1)</f>
        <v>0</v>
      </c>
      <c r="E187" s="212">
        <f t="shared" ref="E187" si="212">100*(B187/B$178-1)</f>
        <v>2.4999999999999911</v>
      </c>
      <c r="F187" s="213">
        <f t="shared" ref="F187" si="213">(100*(B187/B175-1))</f>
        <v>2.4999999999999911</v>
      </c>
      <c r="G187" s="211">
        <f t="shared" ref="G187" si="214">100*(B187/B163-1)</f>
        <v>6.5971095490524823</v>
      </c>
      <c r="H187" s="209">
        <f t="shared" si="97"/>
        <v>1.0507</v>
      </c>
      <c r="I187" s="125"/>
      <c r="J187" s="150"/>
    </row>
    <row r="188" spans="1:10" ht="16.5" customHeight="1">
      <c r="A188" s="234" t="str">
        <f>'Despesas Indireta'!A188</f>
        <v>OUTUBRO|18</v>
      </c>
      <c r="B188" s="233">
        <f>$B$122*(1.09+0.01)*1.075*(1+8.34%+0.66%)*(1+(7%+1.72%))*(1+([257]INPCIBGE!$F$287/100)+0.01%)*(1+2.5%)</f>
        <v>4711.6882095275023</v>
      </c>
      <c r="C188" s="207">
        <f t="shared" ref="C188" si="215">100*B188/B$8</f>
        <v>292.03834245667491</v>
      </c>
      <c r="D188" s="212">
        <f t="shared" ref="D188" si="216">100*(B188/B187-1)</f>
        <v>0</v>
      </c>
      <c r="E188" s="212">
        <f t="shared" ref="E188" si="217">100*(B188/B$178-1)</f>
        <v>2.4999999999999911</v>
      </c>
      <c r="F188" s="213">
        <f t="shared" ref="F188" si="218">(100*(B188/B176-1))</f>
        <v>2.4999999999999911</v>
      </c>
      <c r="G188" s="211">
        <f t="shared" ref="G188" si="219">100*(B188/B164-1)</f>
        <v>6.5971095490524823</v>
      </c>
      <c r="H188" s="209">
        <f t="shared" si="97"/>
        <v>1.0507</v>
      </c>
      <c r="I188" s="125"/>
      <c r="J188" s="150"/>
    </row>
    <row r="189" spans="1:10" ht="16.5" customHeight="1">
      <c r="A189" s="234" t="str">
        <f>'Despesas Indireta'!A189</f>
        <v>NOVEMBRO|18</v>
      </c>
      <c r="B189" s="233">
        <f>$B$122*(1.09+0.01)*1.075*(1+8.34%+0.66%)*(1+(7%+1.72%))*(1+([257]INPCIBGE!$F$287/100)+0.01%)*(1+2.5%)</f>
        <v>4711.6882095275023</v>
      </c>
      <c r="C189" s="207">
        <f t="shared" ref="C189" si="220">100*B189/B$8</f>
        <v>292.03834245667491</v>
      </c>
      <c r="D189" s="212">
        <f t="shared" ref="D189" si="221">100*(B189/B188-1)</f>
        <v>0</v>
      </c>
      <c r="E189" s="212">
        <f t="shared" ref="E189" si="222">100*(B189/B$178-1)</f>
        <v>2.4999999999999911</v>
      </c>
      <c r="F189" s="213">
        <f t="shared" ref="F189" si="223">(100*(B189/B177-1))</f>
        <v>2.4999999999999911</v>
      </c>
      <c r="G189" s="211">
        <f t="shared" ref="G189" si="224">100*(B189/B165-1)</f>
        <v>6.5971095490524823</v>
      </c>
      <c r="H189" s="209">
        <f t="shared" si="97"/>
        <v>1.0507</v>
      </c>
      <c r="I189" s="125"/>
      <c r="J189" s="150"/>
    </row>
    <row r="190" spans="1:10" ht="16.5" customHeight="1">
      <c r="A190" s="234" t="str">
        <f>'Despesas Indireta'!A190</f>
        <v>DEZEMBRO|18</v>
      </c>
      <c r="B190" s="233">
        <f>$B$122*(1.09+0.01)*1.075*(1+8.34%+0.66%)*(1+(7%+1.72%))*(1+([257]INPCIBGE!$F$287/100)+0.01%)*(1+2.5%)</f>
        <v>4711.6882095275023</v>
      </c>
      <c r="C190" s="207">
        <f t="shared" ref="C190" si="225">100*B190/B$8</f>
        <v>292.03834245667491</v>
      </c>
      <c r="D190" s="212">
        <f t="shared" ref="D190" si="226">100*(B190/B189-1)</f>
        <v>0</v>
      </c>
      <c r="E190" s="212">
        <f t="shared" ref="E190" si="227">100*(B190/B$178-1)</f>
        <v>2.4999999999999911</v>
      </c>
      <c r="F190" s="213">
        <f t="shared" ref="F190" si="228">(100*(B190/B178-1))</f>
        <v>2.4999999999999911</v>
      </c>
      <c r="G190" s="211">
        <f t="shared" ref="G190" si="229">100*(B190/B166-1)</f>
        <v>6.5971095490524823</v>
      </c>
      <c r="H190" s="209">
        <f t="shared" si="97"/>
        <v>1.0507</v>
      </c>
      <c r="I190" s="125"/>
      <c r="J190" s="150"/>
    </row>
    <row r="191" spans="1:10" ht="16.5" customHeight="1">
      <c r="A191" s="234" t="str">
        <f>'Despesas Indireta'!A191</f>
        <v>JANEIRO|19</v>
      </c>
      <c r="B191" s="233">
        <f>$B$122*(1.09+0.01)*1.075*(1+8.34%+0.66%)*(1+(7%+1.72%))*(1+([257]INPCIBGE!$F$287/100)+0.01%)*(1+2.5%)</f>
        <v>4711.6882095275023</v>
      </c>
      <c r="C191" s="207">
        <f t="shared" ref="C191" si="230">100*B191/B$8</f>
        <v>292.03834245667491</v>
      </c>
      <c r="D191" s="212">
        <f t="shared" ref="D191" si="231">100*(B191/B190-1)</f>
        <v>0</v>
      </c>
      <c r="E191" s="212">
        <f t="shared" ref="E191:E196" si="232">100*(B191/B$190-1)</f>
        <v>0</v>
      </c>
      <c r="F191" s="213">
        <f t="shared" ref="F191" si="233">(100*(B191/B179-1))</f>
        <v>2.4999999999999911</v>
      </c>
      <c r="G191" s="211">
        <f t="shared" ref="G191" si="234">100*(B191/B167-1)</f>
        <v>6.5971095490524823</v>
      </c>
      <c r="H191" s="209">
        <f t="shared" si="97"/>
        <v>1.0507</v>
      </c>
      <c r="I191" s="125"/>
      <c r="J191" s="150"/>
    </row>
    <row r="192" spans="1:10" ht="16.5" customHeight="1">
      <c r="A192" s="273" t="str">
        <f>'Despesas Indireta'!A192</f>
        <v>FEVEREIRO|19</v>
      </c>
      <c r="B192" s="274">
        <f>$B$122*(1.09+0.01)*1.075*(1+8.34%+0.66%)*(1+(7%+1.72%))*(1+([257]INPCIBGE!$F$287/100)+0.01%)*(1+2.5%)</f>
        <v>4711.6882095275023</v>
      </c>
      <c r="C192" s="275">
        <f t="shared" ref="C192" si="235">100*B192/B$8</f>
        <v>292.03834245667491</v>
      </c>
      <c r="D192" s="276">
        <f t="shared" ref="D192" si="236">100*(B192/B191-1)</f>
        <v>0</v>
      </c>
      <c r="E192" s="276">
        <f t="shared" si="232"/>
        <v>0</v>
      </c>
      <c r="F192" s="277">
        <f t="shared" ref="F192" si="237">(100*(B192/B180-1))</f>
        <v>2.4999999999999911</v>
      </c>
      <c r="G192" s="278">
        <f t="shared" ref="G192" si="238">100*(B192/B168-1)</f>
        <v>6.5971095490524823</v>
      </c>
      <c r="H192" s="209">
        <f t="shared" si="97"/>
        <v>1.0507</v>
      </c>
      <c r="I192" s="125"/>
      <c r="J192" s="150"/>
    </row>
    <row r="193" spans="1:10" ht="16.5" customHeight="1">
      <c r="A193" s="196" t="str">
        <f>'Despesas Indireta'!A193</f>
        <v>MARÇO|19</v>
      </c>
      <c r="B193" s="280">
        <f>$B$122*(1.09+0.01)*1.075*(1+8.34%+0.66%)*(1+(7%+1.72%))*(1+([257]INPCIBGE!$F$287/100)+0.01%)*(1+2.5%)</f>
        <v>4711.6882095275023</v>
      </c>
      <c r="C193" s="197">
        <f t="shared" ref="C193" si="239">100*B193/B$8</f>
        <v>292.03834245667491</v>
      </c>
      <c r="D193" s="269">
        <f t="shared" ref="D193" si="240">100*(B193/B192-1)</f>
        <v>0</v>
      </c>
      <c r="E193" s="269">
        <f t="shared" si="232"/>
        <v>0</v>
      </c>
      <c r="F193" s="270">
        <f t="shared" ref="F193" si="241">(100*(B193/B181-1))</f>
        <v>2.4999999999999911</v>
      </c>
      <c r="G193" s="271">
        <f t="shared" ref="G193" si="242">100*(B193/B169-1)</f>
        <v>6.5971095490524823</v>
      </c>
      <c r="H193" s="209">
        <f t="shared" si="97"/>
        <v>1.0507</v>
      </c>
      <c r="I193" s="125"/>
      <c r="J193" s="150"/>
    </row>
    <row r="194" spans="1:10" ht="16.5" customHeight="1">
      <c r="A194" s="196" t="str">
        <f>'Despesas Indireta'!A194</f>
        <v>ABRIL|19</v>
      </c>
      <c r="B194" s="280">
        <f>$B$122*(1.09+0.01)*1.075*(1+8.34%+0.66%)*(1+(7%+1.72%))*(1+([257]INPCIBGE!$F$287/100)+0.01%)*(1+2.5%)</f>
        <v>4711.6882095275023</v>
      </c>
      <c r="C194" s="197">
        <f t="shared" ref="C194" si="243">100*B194/B$8</f>
        <v>292.03834245667491</v>
      </c>
      <c r="D194" s="269">
        <f t="shared" ref="D194" si="244">100*(B194/B193-1)</f>
        <v>0</v>
      </c>
      <c r="E194" s="269">
        <f t="shared" si="232"/>
        <v>0</v>
      </c>
      <c r="F194" s="270">
        <f t="shared" ref="F194" si="245">(100*(B194/B182-1))</f>
        <v>2.4999999999999911</v>
      </c>
      <c r="G194" s="271">
        <f t="shared" ref="G194" si="246">100*(B194/B170-1)</f>
        <v>6.5971095490524823</v>
      </c>
      <c r="H194" s="209">
        <f t="shared" si="97"/>
        <v>1.0507</v>
      </c>
      <c r="I194" s="125"/>
      <c r="J194" s="150"/>
    </row>
    <row r="195" spans="1:10" ht="16.5" customHeight="1">
      <c r="A195" s="196" t="str">
        <f>'Despesas Indireta'!A195</f>
        <v>MAIO|19</v>
      </c>
      <c r="B195" s="280">
        <f>$B$122*(1.09+0.01)*1.075*(1+8.34%+0.66%)*(1+(7%+1.72%))*(1+([257]INPCIBGE!$F$287/100)+0.01%)*(1+2.5%)*(1+5.07%)</f>
        <v>4950.5708017505467</v>
      </c>
      <c r="C195" s="197">
        <f t="shared" ref="C195" si="247">100*B195/B$8</f>
        <v>306.84468641922837</v>
      </c>
      <c r="D195" s="269">
        <f t="shared" ref="D195" si="248">100*(B195/B194-1)</f>
        <v>5.0699999999999967</v>
      </c>
      <c r="E195" s="269">
        <f t="shared" si="232"/>
        <v>5.0699999999999967</v>
      </c>
      <c r="F195" s="270">
        <f t="shared" ref="F195" si="249">(100*(B195/B183-1))</f>
        <v>7.6967499999999855</v>
      </c>
      <c r="G195" s="271">
        <f t="shared" ref="G195" si="250">100*(B195/B171-1)</f>
        <v>7.7071067333925436</v>
      </c>
      <c r="H195" s="209">
        <f t="shared" si="97"/>
        <v>1</v>
      </c>
      <c r="I195" s="125"/>
      <c r="J195" s="150"/>
    </row>
    <row r="196" spans="1:10" ht="16.5" customHeight="1">
      <c r="A196" s="196" t="str">
        <f>'Despesas Indireta'!A196</f>
        <v>JUNHO|19</v>
      </c>
      <c r="B196" s="280">
        <f>$B$122*(1.09+0.01)*1.075*(1+8.34%+0.66%)*(1+(7%+1.72%))*(1+([257]INPCIBGE!$F$287/100)+0.01%)*(1+2.5%)*(1+5.07%)</f>
        <v>4950.5708017505467</v>
      </c>
      <c r="C196" s="197">
        <f t="shared" ref="C196" si="251">100*B196/B$8</f>
        <v>306.84468641922837</v>
      </c>
      <c r="D196" s="269">
        <f t="shared" ref="D196" si="252">100*(B196/B195-1)</f>
        <v>0</v>
      </c>
      <c r="E196" s="269">
        <f t="shared" si="232"/>
        <v>5.0699999999999967</v>
      </c>
      <c r="F196" s="270">
        <f t="shared" ref="F196" si="253">(100*(B196/B184-1))</f>
        <v>5.0699999999999967</v>
      </c>
      <c r="G196" s="271">
        <f t="shared" ref="G196" si="254">100*(B196/B172-1)</f>
        <v>7.6967499999999855</v>
      </c>
      <c r="H196" s="209">
        <f t="shared" si="97"/>
        <v>1</v>
      </c>
      <c r="I196" s="125"/>
      <c r="J196" s="150"/>
    </row>
    <row r="197" spans="1:10" ht="16.5" customHeight="1">
      <c r="A197" s="196" t="str">
        <f>'Despesas Indireta'!A197</f>
        <v>JULHO|19</v>
      </c>
      <c r="B197" s="280">
        <f>$B$122*(1.09+0.01)*1.075*(1+8.34%+0.66%)*(1+(7%+1.72%))*(1+([257]INPCIBGE!$F$287/100)+0.01%)*(1+2.5%)*(1+5.07%)</f>
        <v>4950.5708017505467</v>
      </c>
      <c r="C197" s="197">
        <f t="shared" ref="C197" si="255">100*B197/B$8</f>
        <v>306.84468641922837</v>
      </c>
      <c r="D197" s="269">
        <f t="shared" ref="D197" si="256">100*(B197/B196-1)</f>
        <v>0</v>
      </c>
      <c r="E197" s="269">
        <f t="shared" ref="E197" si="257">100*(B197/B$190-1)</f>
        <v>5.0699999999999967</v>
      </c>
      <c r="F197" s="270">
        <f t="shared" ref="F197" si="258">(100*(B197/B185-1))</f>
        <v>5.0699999999999967</v>
      </c>
      <c r="G197" s="271">
        <f t="shared" ref="G197" si="259">100*(B197/B173-1)</f>
        <v>7.6967499999999855</v>
      </c>
      <c r="H197" s="209">
        <f t="shared" si="97"/>
        <v>1</v>
      </c>
      <c r="I197" s="125"/>
      <c r="J197" s="150"/>
    </row>
    <row r="198" spans="1:10" ht="16.5" customHeight="1">
      <c r="A198" s="196" t="str">
        <f>'Despesas Indireta'!A198</f>
        <v>AGOSTO|19</v>
      </c>
      <c r="B198" s="280">
        <f>$B$122*(1.09+0.01)*1.075*(1+8.34%+0.66%)*(1+(7%+1.72%))*(1+([257]INPCIBGE!$F$287/100)+0.01%)*(1+2.5%)*(1+5.07%)</f>
        <v>4950.5708017505467</v>
      </c>
      <c r="C198" s="197">
        <f t="shared" ref="C198" si="260">100*B198/B$8</f>
        <v>306.84468641922837</v>
      </c>
      <c r="D198" s="269">
        <f t="shared" ref="D198" si="261">100*(B198/B197-1)</f>
        <v>0</v>
      </c>
      <c r="E198" s="269">
        <f t="shared" ref="E198" si="262">100*(B198/B$190-1)</f>
        <v>5.0699999999999967</v>
      </c>
      <c r="F198" s="270">
        <f t="shared" ref="F198" si="263">(100*(B198/B186-1))</f>
        <v>5.0699999999999967</v>
      </c>
      <c r="G198" s="271">
        <f t="shared" ref="G198" si="264">100*(B198/B174-1)</f>
        <v>7.6967499999999855</v>
      </c>
      <c r="H198" s="209">
        <f t="shared" si="97"/>
        <v>1</v>
      </c>
      <c r="I198" s="125"/>
      <c r="J198" s="150"/>
    </row>
    <row r="199" spans="1:10" ht="16.5" customHeight="1">
      <c r="A199" s="196" t="str">
        <f>'Despesas Indireta'!A199</f>
        <v>SETEMBRO|19</v>
      </c>
      <c r="B199" s="280">
        <f>$B$122*(1.09+0.01)*1.075*(1+8.34%+0.66%)*(1+(7%+1.72%))*(1+([257]INPCIBGE!$F$287/100)+0.01%)*(1+2.5%)*(1+5.07%)</f>
        <v>4950.5708017505467</v>
      </c>
      <c r="C199" s="197">
        <f t="shared" ref="C199" si="265">100*B199/B$8</f>
        <v>306.84468641922837</v>
      </c>
      <c r="D199" s="269">
        <f t="shared" ref="D199" si="266">100*(B199/B198-1)</f>
        <v>0</v>
      </c>
      <c r="E199" s="269">
        <f t="shared" ref="E199" si="267">100*(B199/B$190-1)</f>
        <v>5.0699999999999967</v>
      </c>
      <c r="F199" s="270">
        <f t="shared" ref="F199" si="268">(100*(B199/B187-1))</f>
        <v>5.0699999999999967</v>
      </c>
      <c r="G199" s="271">
        <f t="shared" ref="G199" si="269">100*(B199/B175-1)</f>
        <v>7.6967499999999855</v>
      </c>
      <c r="H199" s="209">
        <f t="shared" si="97"/>
        <v>1</v>
      </c>
      <c r="I199" s="125"/>
      <c r="J199" s="150"/>
    </row>
    <row r="200" spans="1:10" ht="16.5" customHeight="1">
      <c r="A200" s="196" t="str">
        <f>'Despesas Indireta'!A200</f>
        <v>OUTUBRO|19</v>
      </c>
      <c r="B200" s="280">
        <f>$B$122*(1.09+0.01)*1.075*(1+8.34%+0.66%)*(1+(7%+1.72%))*(1+([257]INPCIBGE!$F$287/100)+0.01%)*(1+2.5%)*(1+5.07%)</f>
        <v>4950.5708017505467</v>
      </c>
      <c r="C200" s="197">
        <f t="shared" ref="C200" si="270">100*B200/B$8</f>
        <v>306.84468641922837</v>
      </c>
      <c r="D200" s="269">
        <f t="shared" ref="D200" si="271">100*(B200/B199-1)</f>
        <v>0</v>
      </c>
      <c r="E200" s="269">
        <f t="shared" ref="E200" si="272">100*(B200/B$190-1)</f>
        <v>5.0699999999999967</v>
      </c>
      <c r="F200" s="270">
        <f t="shared" ref="F200" si="273">(100*(B200/B188-1))</f>
        <v>5.0699999999999967</v>
      </c>
      <c r="G200" s="271">
        <f t="shared" ref="G200" si="274">100*(B200/B176-1)</f>
        <v>7.6967499999999855</v>
      </c>
      <c r="H200" s="209">
        <f t="shared" si="97"/>
        <v>1</v>
      </c>
      <c r="I200" s="125"/>
      <c r="J200" s="150"/>
    </row>
    <row r="201" spans="1:10" ht="16.5" customHeight="1">
      <c r="A201" s="196" t="str">
        <f>'Despesas Indireta'!A201</f>
        <v>NOVEMBRO|19</v>
      </c>
      <c r="B201" s="280">
        <f>$B$122*(1.09+0.01)*1.075*(1+8.34%+0.66%)*(1+(7%+1.72%))*(1+([257]INPCIBGE!$F$287/100)+0.01%)*(1+2.5%)*(1+5.07%)</f>
        <v>4950.5708017505467</v>
      </c>
      <c r="C201" s="197">
        <f t="shared" ref="C201" si="275">100*B201/B$8</f>
        <v>306.84468641922837</v>
      </c>
      <c r="D201" s="269">
        <f t="shared" ref="D201" si="276">100*(B201/B200-1)</f>
        <v>0</v>
      </c>
      <c r="E201" s="269">
        <f t="shared" ref="E201" si="277">100*(B201/B$190-1)</f>
        <v>5.0699999999999967</v>
      </c>
      <c r="F201" s="270">
        <f t="shared" ref="F201" si="278">(100*(B201/B189-1))</f>
        <v>5.0699999999999967</v>
      </c>
      <c r="G201" s="271">
        <f t="shared" ref="G201" si="279">100*(B201/B177-1)</f>
        <v>7.6967499999999855</v>
      </c>
      <c r="H201" s="209">
        <f t="shared" si="97"/>
        <v>1</v>
      </c>
      <c r="I201" s="125"/>
      <c r="J201" s="150"/>
    </row>
    <row r="202" spans="1:10" ht="16.5" customHeight="1">
      <c r="A202" s="196" t="str">
        <f>'Despesas Indireta'!A202</f>
        <v>DEZEMBRO|19</v>
      </c>
      <c r="B202" s="280">
        <f>$B$122*(1.09+0.01)*1.075*(1+8.34%+0.66%)*(1+(7%+1.72%))*(1+([257]INPCIBGE!$F$287/100)+0.01%)*(1+2.5%)*(1+5.07%)</f>
        <v>4950.5708017505467</v>
      </c>
      <c r="C202" s="197">
        <f t="shared" ref="C202" si="280">100*B202/B$8</f>
        <v>306.84468641922837</v>
      </c>
      <c r="D202" s="269">
        <f t="shared" ref="D202" si="281">100*(B202/B201-1)</f>
        <v>0</v>
      </c>
      <c r="E202" s="269">
        <f t="shared" ref="E202" si="282">100*(B202/B$190-1)</f>
        <v>5.0699999999999967</v>
      </c>
      <c r="F202" s="270">
        <f t="shared" ref="F202" si="283">(100*(B202/B190-1))</f>
        <v>5.0699999999999967</v>
      </c>
      <c r="G202" s="271">
        <f t="shared" ref="G202" si="284">100*(B202/B178-1)</f>
        <v>7.6967499999999855</v>
      </c>
      <c r="H202" s="209">
        <f t="shared" si="97"/>
        <v>1</v>
      </c>
      <c r="I202" s="125"/>
      <c r="J202" s="150"/>
    </row>
    <row r="203" spans="1:10" ht="16.5" customHeight="1">
      <c r="A203" s="196" t="str">
        <f>'Despesas Indireta'!A203</f>
        <v>JANEIRO|20</v>
      </c>
      <c r="B203" s="280">
        <f>$B$122*(1.09+0.01)*1.075*(1+8.34%+0.66%)*(1+(7%+1.72%))*(1+([257]INPCIBGE!$F$287/100)+0.01%)*(1+2.5%)*(1+5.07%)</f>
        <v>4950.5708017505467</v>
      </c>
      <c r="C203" s="197">
        <f t="shared" ref="C203" si="285">100*B203/B$8</f>
        <v>306.84468641922837</v>
      </c>
      <c r="D203" s="269">
        <f t="shared" ref="D203" si="286">100*(B203/B202-1)</f>
        <v>0</v>
      </c>
      <c r="E203" s="269">
        <f t="shared" ref="E203:E208" si="287">100*(B203/B$202-1)</f>
        <v>0</v>
      </c>
      <c r="F203" s="270">
        <f t="shared" ref="F203" si="288">(100*(B203/B191-1))</f>
        <v>5.0699999999999967</v>
      </c>
      <c r="G203" s="271">
        <f t="shared" ref="G203" si="289">100*(B203/B179-1)</f>
        <v>7.6967499999999855</v>
      </c>
      <c r="H203" s="209">
        <f t="shared" si="97"/>
        <v>1</v>
      </c>
      <c r="I203" s="125"/>
      <c r="J203" s="150"/>
    </row>
    <row r="204" spans="1:10" ht="16.5" customHeight="1">
      <c r="A204" s="196" t="str">
        <f>'Despesas Indireta'!A204</f>
        <v>FEVEREIRO|20</v>
      </c>
      <c r="B204" s="280">
        <f>$B$122*(1.09+0.01)*1.075*(1+8.34%+0.66%)*(1+(7%+1.72%))*(1+([257]INPCIBGE!$F$287/100)+0.01%)*(1+2.5%)*(1+5.07%)</f>
        <v>4950.5708017505467</v>
      </c>
      <c r="C204" s="197">
        <f t="shared" ref="C204" si="290">100*B204/B$8</f>
        <v>306.84468641922837</v>
      </c>
      <c r="D204" s="269">
        <f t="shared" ref="D204" si="291">100*(B204/B203-1)</f>
        <v>0</v>
      </c>
      <c r="E204" s="269">
        <f t="shared" si="287"/>
        <v>0</v>
      </c>
      <c r="F204" s="270">
        <f t="shared" ref="F204" si="292">(100*(B204/B192-1))</f>
        <v>5.0699999999999967</v>
      </c>
      <c r="G204" s="271">
        <f t="shared" ref="G204" si="293">100*(B204/B180-1)</f>
        <v>7.6967499999999855</v>
      </c>
      <c r="H204" s="209">
        <f t="shared" si="97"/>
        <v>1</v>
      </c>
      <c r="I204" s="125"/>
      <c r="J204" s="150"/>
    </row>
    <row r="205" spans="1:10" ht="16.5" customHeight="1">
      <c r="A205" s="196" t="str">
        <f>'Despesas Indireta'!A205</f>
        <v>MARÇO|20</v>
      </c>
      <c r="B205" s="280">
        <f>$B$122*(1.09+0.01)*1.075*(1+8.34%+0.66%)*(1+(7%+1.72%))*(1+([257]INPCIBGE!$F$287/100)+0.01%)*(1+2.5%)*(1+5.07%)</f>
        <v>4950.5708017505467</v>
      </c>
      <c r="C205" s="197">
        <f t="shared" ref="C205" si="294">100*B205/B$8</f>
        <v>306.84468641922837</v>
      </c>
      <c r="D205" s="269">
        <f t="shared" ref="D205" si="295">100*(B205/B204-1)</f>
        <v>0</v>
      </c>
      <c r="E205" s="269">
        <f t="shared" si="287"/>
        <v>0</v>
      </c>
      <c r="F205" s="270">
        <f t="shared" ref="F205" si="296">(100*(B205/B193-1))</f>
        <v>5.0699999999999967</v>
      </c>
      <c r="G205" s="271">
        <f t="shared" ref="G205" si="297">100*(B205/B181-1)</f>
        <v>7.6967499999999855</v>
      </c>
      <c r="H205" s="209">
        <f t="shared" si="97"/>
        <v>1</v>
      </c>
      <c r="I205" s="125"/>
      <c r="J205" s="150"/>
    </row>
    <row r="206" spans="1:10" ht="16.5" customHeight="1">
      <c r="A206" s="196" t="str">
        <f>'Despesas Indireta'!A206</f>
        <v>ABRIL|20</v>
      </c>
      <c r="B206" s="280">
        <f>$B$122*(1.09+0.01)*1.075*(1+8.34%+0.66%)*(1+(7%+1.72%))*(1+([257]INPCIBGE!$F$287/100)+0.01%)*(1+2.5%)*(1+5.07%)</f>
        <v>4950.5708017505467</v>
      </c>
      <c r="C206" s="197">
        <f t="shared" ref="C206" si="298">100*B206/B$8</f>
        <v>306.84468641922837</v>
      </c>
      <c r="D206" s="269">
        <f t="shared" ref="D206" si="299">100*(B206/B205-1)</f>
        <v>0</v>
      </c>
      <c r="E206" s="269">
        <f t="shared" si="287"/>
        <v>0</v>
      </c>
      <c r="F206" s="270">
        <f t="shared" ref="F206" si="300">(100*(B206/B194-1))</f>
        <v>5.0699999999999967</v>
      </c>
      <c r="G206" s="271">
        <f t="shared" ref="G206" si="301">100*(B206/B182-1)</f>
        <v>7.6967499999999855</v>
      </c>
      <c r="H206" s="209">
        <f t="shared" si="97"/>
        <v>1</v>
      </c>
      <c r="I206" s="125"/>
      <c r="J206" s="150"/>
    </row>
    <row r="207" spans="1:10" ht="16.5" customHeight="1">
      <c r="A207" s="196" t="str">
        <f>'Despesas Indireta'!A207</f>
        <v>MAIO|20</v>
      </c>
      <c r="B207" s="280">
        <f>$B$122*(1.09+0.01)*1.075*(1+8.34%+0.66%)*(1+(7%+1.72%))*(1+([257]INPCIBGE!$F$287/100)+0.01%)*(1+2.5%)*(1+5.07%)</f>
        <v>4950.5708017505467</v>
      </c>
      <c r="C207" s="197">
        <f t="shared" ref="C207" si="302">100*B207/B$8</f>
        <v>306.84468641922837</v>
      </c>
      <c r="D207" s="269">
        <f t="shared" ref="D207" si="303">100*(B207/B206-1)</f>
        <v>0</v>
      </c>
      <c r="E207" s="269">
        <f t="shared" si="287"/>
        <v>0</v>
      </c>
      <c r="F207" s="270">
        <f t="shared" ref="F207" si="304">(100*(B207/B195-1))</f>
        <v>0</v>
      </c>
      <c r="G207" s="271">
        <f t="shared" ref="G207" si="305">100*(B207/B183-1)</f>
        <v>7.6967499999999855</v>
      </c>
      <c r="H207" s="209">
        <f t="shared" si="97"/>
        <v>1</v>
      </c>
      <c r="I207" s="125"/>
      <c r="J207" s="150"/>
    </row>
    <row r="208" spans="1:10" ht="16.5" customHeight="1">
      <c r="A208" s="196" t="str">
        <f>'Despesas Indireta'!A208</f>
        <v>JUNHO|20</v>
      </c>
      <c r="B208" s="280">
        <f>$B$122*(1.09+0.01)*1.075*(1+8.34%+0.66%)*(1+(7%+1.72%))*(1+([257]INPCIBGE!$F$287/100)+0.01%)*(1+2.5%)*(1+5.07%)</f>
        <v>4950.5708017505467</v>
      </c>
      <c r="C208" s="197">
        <f t="shared" ref="C208" si="306">100*B208/B$8</f>
        <v>306.84468641922837</v>
      </c>
      <c r="D208" s="269">
        <f t="shared" ref="D208" si="307">100*(B208/B207-1)</f>
        <v>0</v>
      </c>
      <c r="E208" s="269">
        <f t="shared" si="287"/>
        <v>0</v>
      </c>
      <c r="F208" s="270">
        <f t="shared" ref="F208" si="308">(100*(B208/B196-1))</f>
        <v>0</v>
      </c>
      <c r="G208" s="271">
        <f t="shared" ref="G208" si="309">100*(B208/B184-1)</f>
        <v>5.0699999999999967</v>
      </c>
      <c r="H208" s="209">
        <f t="shared" si="97"/>
        <v>1</v>
      </c>
      <c r="I208" s="125"/>
      <c r="J208" s="150"/>
    </row>
    <row r="209" spans="1:10" ht="16.5" customHeight="1">
      <c r="A209" s="196" t="str">
        <f>'Despesas Indireta'!A209</f>
        <v>JULHO|20</v>
      </c>
      <c r="B209" s="280">
        <f>$B$122*(1.09+0.01)*1.075*(1+8.34%+0.66%)*(1+(7%+1.72%))*(1+([257]INPCIBGE!$F$287/100)+0.01%)*(1+2.5%)*(1+5.07%)</f>
        <v>4950.5708017505467</v>
      </c>
      <c r="C209" s="197">
        <f t="shared" ref="C209" si="310">100*B209/B$8</f>
        <v>306.84468641922837</v>
      </c>
      <c r="D209" s="269">
        <f t="shared" ref="D209" si="311">100*(B209/B208-1)</f>
        <v>0</v>
      </c>
      <c r="E209" s="269">
        <f t="shared" ref="E209" si="312">100*(B209/B$202-1)</f>
        <v>0</v>
      </c>
      <c r="F209" s="270">
        <f t="shared" ref="F209" si="313">(100*(B209/B197-1))</f>
        <v>0</v>
      </c>
      <c r="G209" s="271">
        <f t="shared" ref="G209" si="314">100*(B209/B185-1)</f>
        <v>5.0699999999999967</v>
      </c>
      <c r="H209" s="209">
        <f t="shared" si="97"/>
        <v>1</v>
      </c>
      <c r="I209" s="125"/>
      <c r="J209" s="150"/>
    </row>
    <row r="210" spans="1:10" ht="16.5" customHeight="1">
      <c r="A210" s="196" t="str">
        <f>'Despesas Indireta'!A210</f>
        <v>AGOSTO|20</v>
      </c>
      <c r="B210" s="280">
        <f>$B$122*(1.09+0.01)*1.075*(1+8.34%+0.66%)*(1+(7%+1.72%))*(1+([257]INPCIBGE!$F$287/100)+0.01%)*(1+2.5%)*(1+5.07%)</f>
        <v>4950.5708017505467</v>
      </c>
      <c r="C210" s="197">
        <f t="shared" ref="C210" si="315">100*B210/B$8</f>
        <v>306.84468641922837</v>
      </c>
      <c r="D210" s="269">
        <f t="shared" ref="D210" si="316">100*(B210/B209-1)</f>
        <v>0</v>
      </c>
      <c r="E210" s="269">
        <f t="shared" ref="E210" si="317">100*(B210/B$202-1)</f>
        <v>0</v>
      </c>
      <c r="F210" s="270">
        <f t="shared" ref="F210" si="318">(100*(B210/B198-1))</f>
        <v>0</v>
      </c>
      <c r="G210" s="271">
        <f t="shared" ref="G210" si="319">100*(B210/B186-1)</f>
        <v>5.0699999999999967</v>
      </c>
      <c r="H210" s="279">
        <f t="shared" si="97"/>
        <v>1</v>
      </c>
      <c r="I210" s="125"/>
      <c r="J210" s="150"/>
    </row>
    <row r="211" spans="1:10" ht="16.5" customHeight="1" thickBot="1">
      <c r="A211" s="151" t="str">
        <f>'Despesas Indireta'!A211</f>
        <v>SETEMBRO|20</v>
      </c>
      <c r="B211" s="192">
        <f>$B$122*(1.09+0.01)*1.075*(1+8.34%+0.66%)*(1+(7%+1.72%))*(1+([257]INPCIBGE!$F$287/100)+0.01%)*(1+2.5%)*(1+5.07%)</f>
        <v>4950.5708017505467</v>
      </c>
      <c r="C211" s="153">
        <f t="shared" ref="C211" si="320">100*B211/B$8</f>
        <v>306.84468641922837</v>
      </c>
      <c r="D211" s="186">
        <f t="shared" ref="D211" si="321">100*(B211/B210-1)</f>
        <v>0</v>
      </c>
      <c r="E211" s="186">
        <f t="shared" ref="E211" si="322">100*(B211/B$202-1)</f>
        <v>0</v>
      </c>
      <c r="F211" s="187">
        <f t="shared" ref="F211" si="323">(100*(B211/B199-1))</f>
        <v>0</v>
      </c>
      <c r="G211" s="188">
        <f t="shared" ref="G211" si="324">100*(B211/B187-1)</f>
        <v>5.0699999999999967</v>
      </c>
      <c r="H211" s="157">
        <f t="shared" si="97"/>
        <v>1</v>
      </c>
      <c r="I211" s="125"/>
      <c r="J211" s="150"/>
    </row>
    <row r="212" spans="1:10">
      <c r="A212" s="103" t="s">
        <v>18</v>
      </c>
      <c r="B212" s="104"/>
      <c r="C212" s="104"/>
      <c r="D212" s="104"/>
      <c r="E212" s="104"/>
      <c r="F212" s="104"/>
      <c r="G212" s="104"/>
      <c r="H212" s="104"/>
    </row>
    <row r="213" spans="1:10">
      <c r="A213" s="105"/>
      <c r="B213" s="104"/>
      <c r="C213" s="104"/>
      <c r="D213" s="104"/>
      <c r="E213" s="104"/>
      <c r="F213" s="104"/>
      <c r="G213" s="104"/>
      <c r="H213" s="104"/>
    </row>
    <row r="214" spans="1:10">
      <c r="B214" s="104"/>
      <c r="C214" s="104"/>
      <c r="D214" s="104"/>
      <c r="E214" s="104"/>
      <c r="F214" s="104"/>
      <c r="G214" s="104"/>
      <c r="H214" s="104"/>
    </row>
    <row r="215" spans="1:10">
      <c r="B215" s="104"/>
      <c r="C215" s="104"/>
      <c r="D215" s="104"/>
      <c r="E215" s="104"/>
      <c r="F215" s="104"/>
      <c r="G215" s="104"/>
      <c r="H215" s="104"/>
    </row>
    <row r="216" spans="1:10">
      <c r="A216" s="106"/>
      <c r="B216" s="104"/>
      <c r="C216" s="104"/>
      <c r="D216" s="104"/>
      <c r="E216" s="104"/>
      <c r="F216" s="104"/>
      <c r="G216" s="104"/>
      <c r="H216" s="104"/>
    </row>
    <row r="217" spans="1:10">
      <c r="A217" s="106"/>
      <c r="B217" s="107"/>
      <c r="C217" s="107"/>
      <c r="D217" s="108"/>
      <c r="E217" s="107"/>
      <c r="F217" s="104"/>
      <c r="G217" s="104"/>
      <c r="H217" s="104"/>
    </row>
    <row r="218" spans="1:10">
      <c r="B218" s="104"/>
      <c r="C218" s="104"/>
      <c r="D218" s="104"/>
      <c r="E218" s="104"/>
      <c r="F218" s="104"/>
      <c r="G218" s="104"/>
      <c r="H218" s="104"/>
    </row>
    <row r="219" spans="1:10">
      <c r="B219" s="104"/>
      <c r="C219" s="104"/>
      <c r="D219" s="104"/>
      <c r="E219" s="104"/>
      <c r="F219" s="104"/>
      <c r="G219" s="104"/>
      <c r="H219" s="104"/>
    </row>
    <row r="220" spans="1:10">
      <c r="B220" s="104"/>
      <c r="C220" s="104"/>
      <c r="D220" s="104"/>
      <c r="E220" s="104"/>
      <c r="F220" s="104"/>
      <c r="G220" s="104"/>
      <c r="H220" s="104"/>
    </row>
    <row r="221" spans="1:10">
      <c r="B221" s="104"/>
      <c r="C221" s="104"/>
      <c r="D221" s="104"/>
      <c r="E221" s="104"/>
      <c r="F221" s="104"/>
      <c r="G221" s="104"/>
      <c r="H221" s="104"/>
    </row>
    <row r="222" spans="1:10">
      <c r="B222" s="104"/>
      <c r="C222" s="104"/>
      <c r="D222" s="104"/>
      <c r="E222" s="104"/>
      <c r="F222" s="104"/>
      <c r="G222" s="104"/>
      <c r="H222" s="104"/>
    </row>
    <row r="223" spans="1:10">
      <c r="B223" s="104"/>
      <c r="C223" s="104"/>
      <c r="D223" s="104"/>
      <c r="E223" s="104"/>
      <c r="F223" s="104"/>
      <c r="G223" s="104"/>
      <c r="H223" s="104"/>
    </row>
    <row r="224" spans="1:10">
      <c r="B224" s="104"/>
      <c r="C224" s="104"/>
      <c r="D224" s="104"/>
      <c r="E224" s="104"/>
      <c r="F224" s="104"/>
      <c r="G224" s="104"/>
      <c r="H224" s="104"/>
    </row>
    <row r="225" spans="1:8">
      <c r="B225" s="104"/>
      <c r="C225" s="104"/>
      <c r="D225" s="104"/>
      <c r="E225" s="104"/>
      <c r="F225" s="104"/>
      <c r="G225" s="104"/>
      <c r="H225" s="104"/>
    </row>
    <row r="226" spans="1:8">
      <c r="B226" s="104"/>
      <c r="C226" s="104"/>
      <c r="D226" s="104"/>
      <c r="E226" s="104"/>
      <c r="F226" s="104"/>
      <c r="G226" s="104"/>
      <c r="H226" s="104"/>
    </row>
    <row r="227" spans="1:8">
      <c r="B227" s="104"/>
      <c r="C227" s="104"/>
      <c r="D227" s="104"/>
      <c r="E227" s="104"/>
      <c r="F227" s="104"/>
      <c r="G227" s="104"/>
      <c r="H227" s="104"/>
    </row>
    <row r="228" spans="1:8">
      <c r="B228" s="104"/>
      <c r="C228" s="104"/>
      <c r="D228" s="104"/>
      <c r="E228" s="104"/>
      <c r="F228" s="104"/>
      <c r="G228" s="104"/>
      <c r="H228" s="104"/>
    </row>
    <row r="229" spans="1:8">
      <c r="B229" s="104"/>
      <c r="C229" s="104"/>
      <c r="D229" s="104"/>
      <c r="E229" s="104"/>
      <c r="F229" s="104"/>
      <c r="G229" s="104"/>
      <c r="H229" s="104"/>
    </row>
    <row r="230" spans="1:8">
      <c r="A230" s="105"/>
      <c r="B230" s="104"/>
      <c r="C230" s="104"/>
      <c r="D230" s="104"/>
      <c r="E230" s="104"/>
      <c r="F230" s="104"/>
      <c r="G230" s="104"/>
      <c r="H230" s="104"/>
    </row>
    <row r="231" spans="1:8">
      <c r="B231" s="104"/>
      <c r="C231" s="104"/>
      <c r="D231" s="104"/>
      <c r="E231" s="104"/>
      <c r="F231" s="104"/>
      <c r="G231" s="104"/>
      <c r="H231" s="104"/>
    </row>
    <row r="232" spans="1:8">
      <c r="B232" s="104"/>
      <c r="C232" s="104"/>
      <c r="D232" s="104"/>
      <c r="E232" s="104"/>
      <c r="F232" s="104"/>
      <c r="G232" s="104"/>
      <c r="H232" s="104"/>
    </row>
    <row r="233" spans="1:8">
      <c r="A233" s="106"/>
      <c r="B233" s="104"/>
      <c r="C233" s="104"/>
      <c r="D233" s="104"/>
      <c r="E233" s="104"/>
      <c r="F233" s="104"/>
      <c r="G233" s="104"/>
      <c r="H233" s="104"/>
    </row>
    <row r="234" spans="1:8">
      <c r="A234" s="106"/>
      <c r="B234" s="107"/>
      <c r="C234" s="107"/>
      <c r="D234" s="108"/>
      <c r="E234" s="107"/>
      <c r="F234" s="104"/>
      <c r="G234" s="104"/>
      <c r="H234" s="104"/>
    </row>
    <row r="235" spans="1:8">
      <c r="B235" s="104"/>
      <c r="C235" s="104"/>
      <c r="D235" s="104"/>
      <c r="E235" s="104"/>
      <c r="F235" s="104"/>
      <c r="G235" s="104"/>
      <c r="H235" s="104"/>
    </row>
    <row r="236" spans="1:8">
      <c r="B236" s="104"/>
      <c r="C236" s="104"/>
      <c r="D236" s="104"/>
      <c r="E236" s="104"/>
      <c r="F236" s="104"/>
      <c r="G236" s="104"/>
      <c r="H236" s="104"/>
    </row>
    <row r="237" spans="1:8">
      <c r="B237" s="104"/>
      <c r="C237" s="104"/>
      <c r="D237" s="104"/>
      <c r="E237" s="104"/>
      <c r="F237" s="104"/>
      <c r="G237" s="104"/>
      <c r="H237" s="104"/>
    </row>
    <row r="238" spans="1:8">
      <c r="B238" s="104"/>
      <c r="C238" s="104"/>
      <c r="D238" s="104"/>
      <c r="E238" s="104"/>
      <c r="F238" s="104"/>
      <c r="G238" s="104"/>
      <c r="H238" s="104"/>
    </row>
    <row r="239" spans="1:8">
      <c r="B239" s="104"/>
      <c r="C239" s="104"/>
      <c r="D239" s="104"/>
      <c r="E239" s="104"/>
      <c r="F239" s="104"/>
      <c r="G239" s="104"/>
      <c r="H239" s="104"/>
    </row>
    <row r="240" spans="1:8">
      <c r="B240" s="104"/>
      <c r="C240" s="104"/>
      <c r="D240" s="104"/>
      <c r="E240" s="104"/>
      <c r="F240" s="104"/>
      <c r="G240" s="104"/>
      <c r="H240" s="104"/>
    </row>
    <row r="241" spans="1:8">
      <c r="B241" s="104"/>
      <c r="C241" s="104"/>
      <c r="D241" s="104"/>
      <c r="E241" s="104"/>
      <c r="F241" s="104"/>
      <c r="G241" s="104"/>
      <c r="H241" s="104"/>
    </row>
    <row r="242" spans="1:8">
      <c r="B242" s="104"/>
      <c r="C242" s="104"/>
      <c r="D242" s="104"/>
      <c r="E242" s="104"/>
      <c r="F242" s="104"/>
      <c r="G242" s="104"/>
      <c r="H242" s="104"/>
    </row>
    <row r="243" spans="1:8">
      <c r="B243" s="104"/>
      <c r="C243" s="104"/>
      <c r="D243" s="104"/>
      <c r="E243" s="104"/>
      <c r="F243" s="104"/>
      <c r="G243" s="104"/>
      <c r="H243" s="104"/>
    </row>
    <row r="244" spans="1:8">
      <c r="B244" s="104"/>
      <c r="C244" s="104"/>
      <c r="D244" s="104"/>
      <c r="E244" s="104"/>
      <c r="F244" s="104"/>
      <c r="G244" s="104"/>
      <c r="H244" s="104"/>
    </row>
    <row r="245" spans="1:8">
      <c r="B245" s="104"/>
      <c r="C245" s="104"/>
      <c r="D245" s="104"/>
      <c r="E245" s="104"/>
      <c r="F245" s="104"/>
      <c r="G245" s="104"/>
      <c r="H245" s="104"/>
    </row>
    <row r="246" spans="1:8">
      <c r="B246" s="104"/>
      <c r="C246" s="104"/>
      <c r="D246" s="104"/>
      <c r="E246" s="104"/>
      <c r="F246" s="104"/>
      <c r="G246" s="104"/>
      <c r="H246" s="104"/>
    </row>
    <row r="247" spans="1:8">
      <c r="A247" s="105"/>
      <c r="B247" s="104"/>
      <c r="C247" s="104"/>
      <c r="D247" s="104"/>
      <c r="E247" s="104"/>
      <c r="F247" s="104"/>
      <c r="G247" s="104"/>
      <c r="H247" s="104"/>
    </row>
    <row r="248" spans="1:8">
      <c r="B248" s="104"/>
      <c r="C248" s="104"/>
      <c r="D248" s="104"/>
      <c r="E248" s="104"/>
      <c r="F248" s="104"/>
      <c r="G248" s="104"/>
      <c r="H248" s="104"/>
    </row>
    <row r="249" spans="1:8">
      <c r="B249" s="104"/>
      <c r="C249" s="104"/>
      <c r="D249" s="104"/>
      <c r="E249" s="104"/>
      <c r="F249" s="104"/>
      <c r="G249" s="104"/>
      <c r="H249" s="104"/>
    </row>
    <row r="250" spans="1:8">
      <c r="B250" s="104"/>
      <c r="C250" s="104"/>
      <c r="D250" s="104"/>
      <c r="E250" s="104"/>
      <c r="F250" s="104"/>
      <c r="G250" s="104"/>
      <c r="H250" s="104"/>
    </row>
    <row r="251" spans="1:8">
      <c r="B251" s="104"/>
      <c r="C251" s="104"/>
      <c r="D251" s="104"/>
      <c r="E251" s="104"/>
      <c r="F251" s="104"/>
      <c r="G251" s="104"/>
      <c r="H251" s="104"/>
    </row>
    <row r="252" spans="1:8">
      <c r="B252" s="104"/>
      <c r="C252" s="104"/>
      <c r="D252" s="104"/>
      <c r="E252" s="104"/>
      <c r="F252" s="104"/>
      <c r="G252" s="104"/>
      <c r="H252" s="104"/>
    </row>
    <row r="253" spans="1:8">
      <c r="B253" s="104"/>
      <c r="C253" s="104"/>
      <c r="D253" s="104"/>
      <c r="E253" s="104"/>
      <c r="F253" s="104"/>
      <c r="G253" s="104"/>
      <c r="H253" s="104"/>
    </row>
    <row r="254" spans="1:8">
      <c r="B254" s="104"/>
      <c r="C254" s="104"/>
      <c r="D254" s="104"/>
      <c r="E254" s="104"/>
      <c r="F254" s="104"/>
      <c r="G254" s="104"/>
      <c r="H254" s="104"/>
    </row>
    <row r="255" spans="1:8">
      <c r="B255" s="104"/>
      <c r="C255" s="104"/>
      <c r="D255" s="104"/>
      <c r="E255" s="104"/>
      <c r="F255" s="104"/>
      <c r="G255" s="104"/>
      <c r="H255" s="104"/>
    </row>
    <row r="256" spans="1:8">
      <c r="B256" s="104"/>
      <c r="C256" s="104"/>
      <c r="D256" s="104"/>
      <c r="E256" s="104"/>
      <c r="F256" s="104"/>
      <c r="G256" s="104"/>
      <c r="H256" s="104"/>
    </row>
    <row r="257" spans="2:8">
      <c r="B257" s="104"/>
      <c r="C257" s="104"/>
      <c r="D257" s="104"/>
      <c r="E257" s="104"/>
      <c r="F257" s="104"/>
      <c r="G257" s="104"/>
      <c r="H257" s="104"/>
    </row>
    <row r="258" spans="2:8">
      <c r="B258" s="104"/>
      <c r="C258" s="104"/>
      <c r="D258" s="104"/>
      <c r="E258" s="104"/>
      <c r="F258" s="104"/>
      <c r="G258" s="104"/>
      <c r="H258" s="104"/>
    </row>
    <row r="259" spans="2:8">
      <c r="B259" s="104"/>
      <c r="C259" s="104"/>
      <c r="D259" s="104"/>
      <c r="E259" s="104"/>
      <c r="F259" s="104"/>
      <c r="G259" s="104"/>
      <c r="H259" s="104"/>
    </row>
    <row r="260" spans="2:8">
      <c r="B260" s="104"/>
      <c r="C260" s="104"/>
      <c r="D260" s="104"/>
      <c r="E260" s="104"/>
      <c r="F260" s="104"/>
      <c r="G260" s="104"/>
      <c r="H260" s="104"/>
    </row>
    <row r="261" spans="2:8">
      <c r="B261" s="104"/>
      <c r="C261" s="104"/>
      <c r="D261" s="104"/>
      <c r="E261" s="104"/>
      <c r="F261" s="104"/>
      <c r="G261" s="104"/>
      <c r="H261" s="104"/>
    </row>
    <row r="262" spans="2:8">
      <c r="B262" s="104"/>
      <c r="C262" s="104"/>
      <c r="D262" s="104"/>
      <c r="E262" s="104"/>
      <c r="F262" s="104"/>
      <c r="G262" s="104"/>
      <c r="H262" s="104"/>
    </row>
    <row r="263" spans="2:8">
      <c r="B263" s="104"/>
      <c r="C263" s="104"/>
      <c r="D263" s="104"/>
      <c r="E263" s="104"/>
      <c r="F263" s="104"/>
      <c r="G263" s="104"/>
      <c r="H263" s="104"/>
    </row>
    <row r="264" spans="2:8">
      <c r="B264" s="104"/>
      <c r="C264" s="104"/>
      <c r="D264" s="104"/>
      <c r="E264" s="104"/>
      <c r="F264" s="104"/>
      <c r="G264" s="104"/>
      <c r="H264" s="104"/>
    </row>
    <row r="265" spans="2:8">
      <c r="B265" s="104"/>
      <c r="C265" s="104"/>
      <c r="D265" s="104"/>
      <c r="E265" s="104"/>
      <c r="F265" s="104"/>
      <c r="G265" s="104"/>
      <c r="H265" s="104"/>
    </row>
    <row r="266" spans="2:8">
      <c r="B266" s="104"/>
      <c r="C266" s="104"/>
      <c r="D266" s="104"/>
      <c r="E266" s="104"/>
      <c r="F266" s="104"/>
      <c r="G266" s="104"/>
      <c r="H266" s="104"/>
    </row>
    <row r="267" spans="2:8">
      <c r="B267" s="104"/>
      <c r="C267" s="104"/>
      <c r="D267" s="104"/>
      <c r="E267" s="104"/>
      <c r="F267" s="104"/>
      <c r="G267" s="104"/>
      <c r="H267" s="104"/>
    </row>
    <row r="268" spans="2:8">
      <c r="B268" s="104"/>
      <c r="C268" s="104"/>
      <c r="D268" s="104"/>
      <c r="E268" s="104"/>
      <c r="F268" s="104"/>
      <c r="G268" s="104"/>
      <c r="H268" s="104"/>
    </row>
    <row r="269" spans="2:8">
      <c r="B269" s="104"/>
      <c r="C269" s="104"/>
      <c r="D269" s="104"/>
      <c r="E269" s="104"/>
      <c r="F269" s="104"/>
      <c r="G269" s="104"/>
      <c r="H269" s="104"/>
    </row>
    <row r="270" spans="2:8">
      <c r="B270" s="104"/>
      <c r="C270" s="104"/>
      <c r="D270" s="104"/>
      <c r="E270" s="104"/>
      <c r="F270" s="104"/>
      <c r="G270" s="104"/>
      <c r="H270" s="104"/>
    </row>
    <row r="271" spans="2:8">
      <c r="B271" s="104"/>
      <c r="C271" s="104"/>
      <c r="D271" s="104"/>
      <c r="E271" s="104"/>
      <c r="F271" s="104"/>
      <c r="G271" s="104"/>
      <c r="H271" s="104"/>
    </row>
    <row r="272" spans="2:8">
      <c r="B272" s="104"/>
      <c r="C272" s="104"/>
      <c r="D272" s="104"/>
      <c r="E272" s="104"/>
      <c r="F272" s="104"/>
      <c r="G272" s="104"/>
      <c r="H272" s="104"/>
    </row>
    <row r="273" spans="2:8">
      <c r="B273" s="104"/>
      <c r="C273" s="104"/>
      <c r="D273" s="104"/>
      <c r="E273" s="104"/>
      <c r="F273" s="104"/>
      <c r="G273" s="104"/>
      <c r="H273" s="104"/>
    </row>
    <row r="274" spans="2:8">
      <c r="B274" s="104"/>
      <c r="C274" s="104"/>
      <c r="D274" s="104"/>
      <c r="E274" s="104"/>
      <c r="F274" s="104"/>
      <c r="G274" s="104"/>
      <c r="H274" s="104"/>
    </row>
    <row r="275" spans="2:8">
      <c r="B275" s="104"/>
      <c r="C275" s="104"/>
      <c r="D275" s="104"/>
      <c r="E275" s="104"/>
      <c r="F275" s="104"/>
      <c r="G275" s="104"/>
      <c r="H275" s="104"/>
    </row>
    <row r="276" spans="2:8">
      <c r="B276" s="104"/>
      <c r="C276" s="104"/>
      <c r="D276" s="104"/>
      <c r="E276" s="104"/>
      <c r="F276" s="104"/>
      <c r="G276" s="104"/>
      <c r="H276" s="104"/>
    </row>
    <row r="277" spans="2:8">
      <c r="B277" s="104"/>
      <c r="C277" s="104"/>
      <c r="D277" s="104"/>
      <c r="E277" s="104"/>
      <c r="F277" s="104"/>
      <c r="G277" s="104"/>
      <c r="H277" s="104"/>
    </row>
    <row r="278" spans="2:8">
      <c r="B278" s="104"/>
      <c r="C278" s="104"/>
      <c r="D278" s="104"/>
      <c r="E278" s="104"/>
      <c r="F278" s="104"/>
      <c r="G278" s="104"/>
      <c r="H278" s="104"/>
    </row>
    <row r="279" spans="2:8">
      <c r="B279" s="104"/>
      <c r="C279" s="104"/>
      <c r="D279" s="104"/>
      <c r="E279" s="104"/>
      <c r="F279" s="104"/>
      <c r="G279" s="104"/>
      <c r="H279" s="104"/>
    </row>
    <row r="280" spans="2:8">
      <c r="B280" s="104"/>
      <c r="C280" s="104"/>
      <c r="D280" s="104"/>
      <c r="E280" s="104"/>
      <c r="F280" s="104"/>
      <c r="G280" s="104"/>
      <c r="H280" s="104"/>
    </row>
    <row r="281" spans="2:8">
      <c r="B281" s="104"/>
      <c r="C281" s="104"/>
      <c r="D281" s="104"/>
      <c r="E281" s="104"/>
      <c r="F281" s="104"/>
      <c r="G281" s="104"/>
      <c r="H281" s="104"/>
    </row>
    <row r="282" spans="2:8">
      <c r="B282" s="104"/>
      <c r="C282" s="104"/>
      <c r="D282" s="104"/>
      <c r="E282" s="104"/>
      <c r="F282" s="104"/>
      <c r="G282" s="104"/>
      <c r="H282" s="104"/>
    </row>
    <row r="283" spans="2:8">
      <c r="B283" s="104"/>
      <c r="C283" s="104"/>
      <c r="D283" s="104"/>
      <c r="E283" s="104"/>
      <c r="F283" s="104"/>
      <c r="G283" s="104"/>
      <c r="H283" s="104"/>
    </row>
    <row r="284" spans="2:8">
      <c r="B284" s="104"/>
      <c r="C284" s="104"/>
      <c r="D284" s="104"/>
      <c r="E284" s="104"/>
      <c r="F284" s="104"/>
      <c r="G284" s="104"/>
      <c r="H284" s="104"/>
    </row>
    <row r="285" spans="2:8">
      <c r="B285" s="104"/>
      <c r="C285" s="104"/>
      <c r="D285" s="104"/>
      <c r="E285" s="104"/>
      <c r="F285" s="104"/>
      <c r="G285" s="104"/>
      <c r="H285" s="104"/>
    </row>
    <row r="286" spans="2:8">
      <c r="B286" s="104"/>
      <c r="C286" s="104"/>
      <c r="D286" s="104"/>
      <c r="E286" s="104"/>
      <c r="F286" s="104"/>
      <c r="G286" s="104"/>
      <c r="H286" s="104"/>
    </row>
    <row r="287" spans="2:8">
      <c r="B287" s="104"/>
      <c r="C287" s="104"/>
      <c r="D287" s="104"/>
      <c r="E287" s="104"/>
      <c r="F287" s="104"/>
      <c r="G287" s="104"/>
      <c r="H287" s="104"/>
    </row>
    <row r="288" spans="2:8">
      <c r="B288" s="104"/>
      <c r="C288" s="104"/>
      <c r="D288" s="104"/>
      <c r="E288" s="104"/>
      <c r="F288" s="104"/>
      <c r="G288" s="104"/>
      <c r="H288" s="104"/>
    </row>
    <row r="289" spans="2:8">
      <c r="B289" s="104"/>
      <c r="C289" s="104"/>
      <c r="D289" s="104"/>
      <c r="E289" s="104"/>
      <c r="F289" s="104"/>
      <c r="G289" s="104"/>
      <c r="H289" s="104"/>
    </row>
    <row r="290" spans="2:8">
      <c r="B290" s="104"/>
      <c r="C290" s="104"/>
      <c r="D290" s="104"/>
      <c r="E290" s="104"/>
      <c r="F290" s="104"/>
      <c r="G290" s="104"/>
      <c r="H290" s="104"/>
    </row>
    <row r="291" spans="2:8">
      <c r="B291" s="104"/>
      <c r="C291" s="104"/>
      <c r="D291" s="104"/>
      <c r="E291" s="104"/>
      <c r="F291" s="104"/>
      <c r="G291" s="104"/>
      <c r="H291" s="104"/>
    </row>
    <row r="292" spans="2:8">
      <c r="B292" s="104"/>
      <c r="C292" s="104"/>
      <c r="D292" s="104"/>
      <c r="E292" s="104"/>
      <c r="F292" s="104"/>
      <c r="G292" s="104"/>
      <c r="H292" s="104"/>
    </row>
    <row r="293" spans="2:8">
      <c r="B293" s="104"/>
      <c r="C293" s="104"/>
      <c r="D293" s="104"/>
      <c r="E293" s="104"/>
      <c r="F293" s="104"/>
      <c r="G293" s="104"/>
      <c r="H293" s="104"/>
    </row>
    <row r="294" spans="2:8">
      <c r="B294" s="104"/>
      <c r="C294" s="104"/>
      <c r="D294" s="104"/>
      <c r="E294" s="104"/>
      <c r="F294" s="104"/>
      <c r="G294" s="104"/>
      <c r="H294" s="104"/>
    </row>
    <row r="295" spans="2:8">
      <c r="B295" s="104"/>
      <c r="C295" s="104"/>
      <c r="D295" s="104"/>
      <c r="E295" s="104"/>
      <c r="F295" s="104"/>
      <c r="G295" s="104"/>
      <c r="H295" s="104"/>
    </row>
    <row r="296" spans="2:8">
      <c r="B296" s="104"/>
      <c r="C296" s="104"/>
      <c r="D296" s="104"/>
      <c r="E296" s="104"/>
      <c r="F296" s="104"/>
      <c r="G296" s="104"/>
      <c r="H296" s="104"/>
    </row>
    <row r="297" spans="2:8">
      <c r="B297" s="104"/>
      <c r="C297" s="104"/>
      <c r="D297" s="104"/>
      <c r="E297" s="104"/>
      <c r="F297" s="104"/>
      <c r="G297" s="104"/>
      <c r="H297" s="104"/>
    </row>
    <row r="298" spans="2:8">
      <c r="B298" s="104"/>
      <c r="C298" s="104"/>
      <c r="D298" s="104"/>
      <c r="E298" s="104"/>
      <c r="F298" s="104"/>
      <c r="G298" s="104"/>
      <c r="H298" s="104"/>
    </row>
    <row r="299" spans="2:8">
      <c r="B299" s="104"/>
      <c r="C299" s="104"/>
      <c r="D299" s="104"/>
      <c r="E299" s="104"/>
      <c r="F299" s="104"/>
      <c r="G299" s="104"/>
      <c r="H299" s="104"/>
    </row>
    <row r="300" spans="2:8">
      <c r="B300" s="104"/>
      <c r="C300" s="104"/>
      <c r="D300" s="104"/>
      <c r="E300" s="104"/>
      <c r="F300" s="104"/>
      <c r="G300" s="104"/>
      <c r="H300" s="104"/>
    </row>
    <row r="301" spans="2:8">
      <c r="B301" s="104"/>
      <c r="C301" s="104"/>
      <c r="D301" s="104"/>
      <c r="E301" s="104"/>
      <c r="F301" s="104"/>
      <c r="G301" s="104"/>
      <c r="H301" s="104"/>
    </row>
    <row r="302" spans="2:8">
      <c r="B302" s="104"/>
      <c r="C302" s="104"/>
      <c r="D302" s="104"/>
      <c r="E302" s="104"/>
      <c r="F302" s="104"/>
      <c r="G302" s="104"/>
      <c r="H302" s="104"/>
    </row>
    <row r="303" spans="2:8">
      <c r="B303" s="104"/>
      <c r="C303" s="104"/>
      <c r="D303" s="104"/>
      <c r="E303" s="104"/>
      <c r="F303" s="104"/>
      <c r="G303" s="104"/>
      <c r="H303" s="104"/>
    </row>
    <row r="304" spans="2:8">
      <c r="B304" s="104"/>
      <c r="C304" s="104"/>
      <c r="D304" s="104"/>
      <c r="E304" s="104"/>
      <c r="F304" s="104"/>
      <c r="G304" s="104"/>
      <c r="H304" s="104"/>
    </row>
    <row r="305" spans="2:8">
      <c r="B305" s="104"/>
      <c r="C305" s="104"/>
      <c r="D305" s="104"/>
      <c r="E305" s="104"/>
      <c r="F305" s="104"/>
      <c r="G305" s="104"/>
      <c r="H305" s="104"/>
    </row>
    <row r="306" spans="2:8">
      <c r="B306" s="104"/>
      <c r="C306" s="104"/>
      <c r="D306" s="104"/>
      <c r="E306" s="104"/>
      <c r="F306" s="104"/>
      <c r="G306" s="104"/>
      <c r="H306" s="104"/>
    </row>
    <row r="307" spans="2:8">
      <c r="B307" s="104"/>
      <c r="C307" s="104"/>
      <c r="D307" s="104"/>
      <c r="E307" s="104"/>
      <c r="F307" s="104"/>
      <c r="G307" s="104"/>
      <c r="H307" s="104"/>
    </row>
    <row r="308" spans="2:8">
      <c r="B308" s="104"/>
      <c r="C308" s="104"/>
      <c r="D308" s="104"/>
      <c r="E308" s="104"/>
      <c r="F308" s="104"/>
      <c r="G308" s="104"/>
      <c r="H308" s="104"/>
    </row>
    <row r="309" spans="2:8">
      <c r="B309" s="104"/>
      <c r="C309" s="104"/>
      <c r="D309" s="104"/>
      <c r="E309" s="104"/>
      <c r="F309" s="104"/>
      <c r="G309" s="104"/>
      <c r="H309" s="104"/>
    </row>
    <row r="310" spans="2:8">
      <c r="B310" s="104"/>
      <c r="C310" s="104"/>
      <c r="D310" s="104"/>
      <c r="E310" s="104"/>
      <c r="F310" s="104"/>
      <c r="G310" s="104"/>
      <c r="H310" s="104"/>
    </row>
    <row r="311" spans="2:8">
      <c r="B311" s="104"/>
      <c r="C311" s="104"/>
      <c r="D311" s="104"/>
      <c r="E311" s="104"/>
      <c r="F311" s="104"/>
      <c r="G311" s="104"/>
      <c r="H311" s="104"/>
    </row>
    <row r="312" spans="2:8">
      <c r="B312" s="104"/>
      <c r="C312" s="104"/>
      <c r="D312" s="104"/>
      <c r="E312" s="104"/>
      <c r="F312" s="104"/>
      <c r="G312" s="104"/>
      <c r="H312" s="104"/>
    </row>
    <row r="313" spans="2:8">
      <c r="B313" s="104"/>
      <c r="C313" s="104"/>
      <c r="D313" s="104"/>
      <c r="E313" s="104"/>
      <c r="F313" s="104"/>
      <c r="G313" s="104"/>
      <c r="H313" s="104"/>
    </row>
    <row r="314" spans="2:8">
      <c r="B314" s="104"/>
      <c r="C314" s="104"/>
      <c r="D314" s="104"/>
      <c r="E314" s="104"/>
      <c r="F314" s="104"/>
      <c r="G314" s="104"/>
      <c r="H314" s="104"/>
    </row>
    <row r="315" spans="2:8">
      <c r="B315" s="104"/>
      <c r="C315" s="104"/>
      <c r="D315" s="104"/>
      <c r="E315" s="104"/>
      <c r="F315" s="104"/>
      <c r="G315" s="104"/>
      <c r="H315" s="104"/>
    </row>
    <row r="316" spans="2:8">
      <c r="B316" s="104"/>
      <c r="C316" s="104"/>
      <c r="D316" s="104"/>
      <c r="E316" s="104"/>
      <c r="F316" s="104"/>
      <c r="G316" s="104"/>
      <c r="H316" s="104"/>
    </row>
    <row r="317" spans="2:8">
      <c r="B317" s="104"/>
      <c r="C317" s="104"/>
      <c r="D317" s="104"/>
      <c r="E317" s="104"/>
      <c r="F317" s="104"/>
      <c r="G317" s="104"/>
      <c r="H317" s="104"/>
    </row>
    <row r="318" spans="2:8">
      <c r="B318" s="104"/>
      <c r="C318" s="104"/>
      <c r="D318" s="104"/>
      <c r="E318" s="104"/>
      <c r="F318" s="104"/>
      <c r="G318" s="104"/>
      <c r="H318" s="104"/>
    </row>
    <row r="319" spans="2:8">
      <c r="B319" s="104"/>
      <c r="C319" s="104"/>
      <c r="D319" s="104"/>
      <c r="E319" s="104"/>
      <c r="F319" s="104"/>
      <c r="G319" s="104"/>
      <c r="H319" s="104"/>
    </row>
    <row r="320" spans="2:8">
      <c r="B320" s="104"/>
      <c r="C320" s="104"/>
      <c r="D320" s="104"/>
      <c r="E320" s="104"/>
      <c r="F320" s="104"/>
      <c r="G320" s="104"/>
      <c r="H320" s="104"/>
    </row>
    <row r="321" spans="2:8">
      <c r="B321" s="104"/>
      <c r="C321" s="104"/>
      <c r="D321" s="104"/>
      <c r="E321" s="104"/>
      <c r="F321" s="104"/>
      <c r="G321" s="104"/>
      <c r="H321" s="104"/>
    </row>
    <row r="322" spans="2:8">
      <c r="B322" s="104"/>
      <c r="C322" s="104"/>
      <c r="D322" s="104"/>
      <c r="E322" s="104"/>
      <c r="F322" s="104"/>
      <c r="G322" s="104"/>
      <c r="H322" s="104"/>
    </row>
    <row r="323" spans="2:8">
      <c r="B323" s="104"/>
      <c r="C323" s="104"/>
      <c r="D323" s="104"/>
      <c r="E323" s="104"/>
      <c r="F323" s="104"/>
      <c r="G323" s="104"/>
      <c r="H323" s="104"/>
    </row>
    <row r="324" spans="2:8">
      <c r="B324" s="104"/>
      <c r="C324" s="104"/>
      <c r="D324" s="104"/>
      <c r="E324" s="104"/>
      <c r="F324" s="104"/>
      <c r="G324" s="104"/>
      <c r="H324" s="104"/>
    </row>
    <row r="325" spans="2:8">
      <c r="B325" s="104"/>
      <c r="C325" s="104"/>
      <c r="D325" s="104"/>
      <c r="E325" s="104"/>
      <c r="F325" s="104"/>
      <c r="G325" s="104"/>
      <c r="H325" s="104"/>
    </row>
    <row r="326" spans="2:8">
      <c r="B326" s="104"/>
      <c r="C326" s="104"/>
      <c r="D326" s="104"/>
      <c r="E326" s="104"/>
      <c r="F326" s="104"/>
      <c r="G326" s="104"/>
      <c r="H326" s="104"/>
    </row>
    <row r="327" spans="2:8">
      <c r="B327" s="104"/>
      <c r="C327" s="104"/>
      <c r="D327" s="104"/>
      <c r="E327" s="104"/>
      <c r="F327" s="104"/>
      <c r="G327" s="104"/>
      <c r="H327" s="104"/>
    </row>
    <row r="328" spans="2:8">
      <c r="B328" s="104"/>
      <c r="C328" s="104"/>
      <c r="D328" s="104"/>
      <c r="E328" s="104"/>
      <c r="F328" s="104"/>
      <c r="G328" s="104"/>
      <c r="H328" s="104"/>
    </row>
    <row r="329" spans="2:8">
      <c r="B329" s="104"/>
      <c r="C329" s="104"/>
      <c r="D329" s="104"/>
      <c r="E329" s="104"/>
      <c r="F329" s="104"/>
      <c r="G329" s="104"/>
      <c r="H329" s="104"/>
    </row>
    <row r="330" spans="2:8">
      <c r="B330" s="104"/>
      <c r="C330" s="104"/>
      <c r="D330" s="104"/>
      <c r="E330" s="104"/>
      <c r="F330" s="104"/>
      <c r="G330" s="104"/>
      <c r="H330" s="104"/>
    </row>
    <row r="331" spans="2:8">
      <c r="B331" s="104"/>
      <c r="C331" s="104"/>
      <c r="D331" s="104"/>
      <c r="E331" s="104"/>
      <c r="F331" s="104"/>
      <c r="G331" s="104"/>
      <c r="H331" s="104"/>
    </row>
    <row r="332" spans="2:8">
      <c r="B332" s="104"/>
      <c r="C332" s="104"/>
      <c r="D332" s="104"/>
      <c r="E332" s="104"/>
      <c r="F332" s="104"/>
      <c r="G332" s="104"/>
      <c r="H332" s="104"/>
    </row>
    <row r="333" spans="2:8">
      <c r="B333" s="104"/>
      <c r="C333" s="104"/>
      <c r="D333" s="104"/>
      <c r="E333" s="104"/>
      <c r="F333" s="104"/>
      <c r="G333" s="104"/>
      <c r="H333" s="104"/>
    </row>
    <row r="334" spans="2:8">
      <c r="B334" s="104"/>
      <c r="C334" s="104"/>
      <c r="D334" s="104"/>
      <c r="E334" s="104"/>
      <c r="F334" s="104"/>
      <c r="G334" s="104"/>
      <c r="H334" s="104"/>
    </row>
    <row r="335" spans="2:8">
      <c r="B335" s="104"/>
      <c r="C335" s="104"/>
      <c r="D335" s="104"/>
      <c r="E335" s="104"/>
      <c r="F335" s="104"/>
      <c r="G335" s="104"/>
      <c r="H335" s="104"/>
    </row>
    <row r="336" spans="2:8">
      <c r="B336" s="104"/>
      <c r="C336" s="104"/>
      <c r="D336" s="104"/>
      <c r="E336" s="104"/>
      <c r="F336" s="104"/>
      <c r="G336" s="104"/>
      <c r="H336" s="104"/>
    </row>
    <row r="337" spans="2:8">
      <c r="B337" s="104"/>
      <c r="C337" s="104"/>
      <c r="D337" s="104"/>
      <c r="E337" s="104"/>
      <c r="F337" s="104"/>
      <c r="G337" s="104"/>
      <c r="H337" s="104"/>
    </row>
    <row r="338" spans="2:8">
      <c r="B338" s="104"/>
      <c r="C338" s="104"/>
      <c r="D338" s="104"/>
      <c r="E338" s="104"/>
      <c r="F338" s="104"/>
      <c r="G338" s="104"/>
      <c r="H338" s="104"/>
    </row>
    <row r="339" spans="2:8">
      <c r="B339" s="104"/>
      <c r="C339" s="104"/>
      <c r="D339" s="104"/>
      <c r="E339" s="104"/>
      <c r="F339" s="104"/>
      <c r="G339" s="104"/>
      <c r="H339" s="104"/>
    </row>
    <row r="340" spans="2:8">
      <c r="B340" s="104"/>
      <c r="C340" s="104"/>
      <c r="D340" s="104"/>
      <c r="E340" s="104"/>
      <c r="F340" s="104"/>
      <c r="G340" s="104"/>
      <c r="H340" s="104"/>
    </row>
    <row r="341" spans="2:8">
      <c r="B341" s="104"/>
      <c r="C341" s="104"/>
      <c r="D341" s="104"/>
      <c r="E341" s="104"/>
      <c r="F341" s="104"/>
      <c r="G341" s="104"/>
      <c r="H341" s="104"/>
    </row>
    <row r="342" spans="2:8">
      <c r="B342" s="104"/>
      <c r="C342" s="104"/>
      <c r="D342" s="104"/>
      <c r="E342" s="104"/>
      <c r="F342" s="104"/>
      <c r="G342" s="104"/>
      <c r="H342" s="104"/>
    </row>
    <row r="343" spans="2:8">
      <c r="B343" s="104"/>
      <c r="C343" s="104"/>
      <c r="D343" s="104"/>
      <c r="E343" s="104"/>
      <c r="F343" s="104"/>
      <c r="G343" s="104"/>
      <c r="H343" s="104"/>
    </row>
    <row r="344" spans="2:8">
      <c r="B344" s="104"/>
      <c r="C344" s="104"/>
      <c r="D344" s="104"/>
      <c r="E344" s="104"/>
      <c r="F344" s="104"/>
      <c r="G344" s="104"/>
      <c r="H344" s="104"/>
    </row>
    <row r="345" spans="2:8">
      <c r="B345" s="104"/>
      <c r="C345" s="104"/>
      <c r="D345" s="104"/>
      <c r="E345" s="104"/>
      <c r="F345" s="104"/>
      <c r="G345" s="104"/>
      <c r="H345" s="104"/>
    </row>
    <row r="346" spans="2:8">
      <c r="B346" s="104"/>
      <c r="C346" s="104"/>
      <c r="D346" s="104"/>
      <c r="E346" s="104"/>
      <c r="F346" s="104"/>
      <c r="G346" s="104"/>
      <c r="H346" s="104"/>
    </row>
    <row r="347" spans="2:8">
      <c r="B347" s="104"/>
      <c r="C347" s="104"/>
      <c r="D347" s="104"/>
      <c r="E347" s="104"/>
      <c r="F347" s="104"/>
      <c r="G347" s="104"/>
      <c r="H347" s="104"/>
    </row>
    <row r="348" spans="2:8">
      <c r="B348" s="104"/>
      <c r="C348" s="104"/>
      <c r="D348" s="104"/>
      <c r="E348" s="104"/>
      <c r="F348" s="104"/>
      <c r="G348" s="104"/>
      <c r="H348" s="104"/>
    </row>
    <row r="349" spans="2:8">
      <c r="B349" s="104"/>
      <c r="C349" s="104"/>
      <c r="D349" s="104"/>
      <c r="E349" s="104"/>
      <c r="F349" s="104"/>
      <c r="G349" s="104"/>
      <c r="H349" s="104"/>
    </row>
    <row r="350" spans="2:8">
      <c r="B350" s="104"/>
      <c r="C350" s="104"/>
      <c r="D350" s="104"/>
      <c r="E350" s="104"/>
      <c r="F350" s="104"/>
      <c r="G350" s="104"/>
      <c r="H350" s="104"/>
    </row>
    <row r="351" spans="2:8">
      <c r="B351" s="104"/>
      <c r="C351" s="104"/>
      <c r="D351" s="104"/>
      <c r="E351" s="104"/>
      <c r="F351" s="104"/>
      <c r="G351" s="104"/>
      <c r="H351" s="104"/>
    </row>
    <row r="352" spans="2:8">
      <c r="B352" s="104"/>
      <c r="C352" s="104"/>
      <c r="D352" s="104"/>
      <c r="E352" s="104"/>
      <c r="F352" s="104"/>
      <c r="G352" s="104"/>
      <c r="H352" s="104"/>
    </row>
    <row r="353" spans="2:8">
      <c r="B353" s="104"/>
      <c r="C353" s="104"/>
      <c r="D353" s="104"/>
      <c r="E353" s="104"/>
      <c r="F353" s="104"/>
      <c r="G353" s="104"/>
      <c r="H353" s="104"/>
    </row>
    <row r="354" spans="2:8">
      <c r="B354" s="104"/>
      <c r="C354" s="104"/>
      <c r="D354" s="104"/>
      <c r="E354" s="104"/>
      <c r="F354" s="104"/>
      <c r="G354" s="104"/>
      <c r="H354" s="104"/>
    </row>
    <row r="355" spans="2:8">
      <c r="B355" s="104"/>
      <c r="C355" s="104"/>
      <c r="D355" s="104"/>
      <c r="E355" s="104"/>
      <c r="F355" s="104"/>
      <c r="G355" s="104"/>
      <c r="H355" s="104"/>
    </row>
    <row r="356" spans="2:8">
      <c r="B356" s="104"/>
      <c r="C356" s="104"/>
      <c r="D356" s="104"/>
      <c r="E356" s="104"/>
      <c r="F356" s="104"/>
      <c r="G356" s="104"/>
      <c r="H356" s="104"/>
    </row>
    <row r="357" spans="2:8">
      <c r="B357" s="104"/>
      <c r="C357" s="104"/>
      <c r="D357" s="104"/>
      <c r="E357" s="104"/>
      <c r="F357" s="104"/>
      <c r="G357" s="104"/>
      <c r="H357" s="104"/>
    </row>
    <row r="358" spans="2:8">
      <c r="B358" s="104"/>
      <c r="C358" s="104"/>
      <c r="D358" s="104"/>
      <c r="E358" s="104"/>
      <c r="F358" s="104"/>
      <c r="G358" s="104"/>
      <c r="H358" s="104"/>
    </row>
    <row r="359" spans="2:8">
      <c r="B359" s="104"/>
      <c r="C359" s="104"/>
      <c r="D359" s="104"/>
      <c r="E359" s="104"/>
      <c r="F359" s="104"/>
      <c r="G359" s="104"/>
      <c r="H359" s="104"/>
    </row>
    <row r="360" spans="2:8">
      <c r="B360" s="104"/>
      <c r="C360" s="104"/>
      <c r="D360" s="104"/>
      <c r="E360" s="104"/>
      <c r="F360" s="104"/>
      <c r="G360" s="104"/>
      <c r="H360" s="104"/>
    </row>
    <row r="361" spans="2:8">
      <c r="B361" s="104"/>
      <c r="C361" s="104"/>
      <c r="D361" s="104"/>
      <c r="E361" s="104"/>
      <c r="F361" s="104"/>
      <c r="G361" s="104"/>
      <c r="H361" s="104"/>
    </row>
    <row r="362" spans="2:8">
      <c r="B362" s="104"/>
      <c r="C362" s="104"/>
      <c r="D362" s="104"/>
      <c r="E362" s="104"/>
      <c r="F362" s="104"/>
      <c r="G362" s="104"/>
      <c r="H362" s="104"/>
    </row>
    <row r="363" spans="2:8">
      <c r="B363" s="104"/>
      <c r="C363" s="104"/>
      <c r="D363" s="104"/>
      <c r="E363" s="104"/>
      <c r="F363" s="104"/>
      <c r="G363" s="104"/>
      <c r="H363" s="104"/>
    </row>
    <row r="364" spans="2:8">
      <c r="B364" s="104"/>
      <c r="C364" s="104"/>
      <c r="D364" s="104"/>
      <c r="E364" s="104"/>
      <c r="F364" s="104"/>
      <c r="G364" s="104"/>
      <c r="H364" s="104"/>
    </row>
    <row r="365" spans="2:8">
      <c r="B365" s="104"/>
      <c r="C365" s="104"/>
      <c r="D365" s="104"/>
      <c r="E365" s="104"/>
      <c r="F365" s="104"/>
      <c r="G365" s="104"/>
      <c r="H365" s="104"/>
    </row>
    <row r="366" spans="2:8">
      <c r="B366" s="104"/>
      <c r="C366" s="104"/>
      <c r="D366" s="104"/>
      <c r="E366" s="104"/>
      <c r="F366" s="104"/>
      <c r="G366" s="104"/>
      <c r="H366" s="104"/>
    </row>
    <row r="367" spans="2:8">
      <c r="B367" s="104"/>
      <c r="C367" s="104"/>
      <c r="D367" s="104"/>
      <c r="E367" s="104"/>
      <c r="F367" s="104"/>
      <c r="G367" s="104"/>
      <c r="H367" s="104"/>
    </row>
    <row r="368" spans="2:8">
      <c r="B368" s="104"/>
      <c r="C368" s="104"/>
      <c r="D368" s="104"/>
      <c r="E368" s="104"/>
      <c r="F368" s="104"/>
      <c r="G368" s="104"/>
      <c r="H368" s="104"/>
    </row>
    <row r="369" spans="2:8">
      <c r="B369" s="104"/>
      <c r="C369" s="104"/>
      <c r="D369" s="104"/>
      <c r="E369" s="104"/>
      <c r="F369" s="104"/>
      <c r="G369" s="104"/>
      <c r="H369" s="104"/>
    </row>
    <row r="370" spans="2:8">
      <c r="B370" s="104"/>
      <c r="C370" s="104"/>
      <c r="D370" s="104"/>
      <c r="E370" s="104"/>
      <c r="F370" s="104"/>
      <c r="G370" s="104"/>
      <c r="H370" s="104"/>
    </row>
    <row r="371" spans="2:8">
      <c r="B371" s="104"/>
      <c r="C371" s="104"/>
      <c r="D371" s="104"/>
      <c r="E371" s="104"/>
      <c r="F371" s="104"/>
      <c r="G371" s="104"/>
      <c r="H371" s="104"/>
    </row>
    <row r="372" spans="2:8">
      <c r="B372" s="104"/>
      <c r="C372" s="104"/>
      <c r="D372" s="104"/>
      <c r="E372" s="104"/>
      <c r="F372" s="104"/>
      <c r="G372" s="104"/>
      <c r="H372" s="104"/>
    </row>
    <row r="373" spans="2:8">
      <c r="B373" s="104"/>
      <c r="C373" s="104"/>
      <c r="D373" s="104"/>
      <c r="E373" s="104"/>
      <c r="F373" s="104"/>
      <c r="G373" s="104"/>
      <c r="H373" s="104"/>
    </row>
    <row r="374" spans="2:8">
      <c r="B374" s="104"/>
      <c r="C374" s="104"/>
      <c r="D374" s="104"/>
      <c r="E374" s="104"/>
      <c r="F374" s="104"/>
      <c r="G374" s="104"/>
      <c r="H374" s="104"/>
    </row>
    <row r="375" spans="2:8">
      <c r="B375" s="104"/>
      <c r="C375" s="104"/>
      <c r="D375" s="104"/>
      <c r="E375" s="104"/>
      <c r="F375" s="104"/>
      <c r="G375" s="104"/>
      <c r="H375" s="104"/>
    </row>
    <row r="376" spans="2:8">
      <c r="B376" s="104"/>
      <c r="C376" s="104"/>
      <c r="D376" s="104"/>
      <c r="E376" s="104"/>
      <c r="F376" s="104"/>
      <c r="G376" s="104"/>
      <c r="H376" s="104"/>
    </row>
    <row r="377" spans="2:8">
      <c r="B377" s="104"/>
      <c r="C377" s="104"/>
      <c r="D377" s="104"/>
      <c r="E377" s="104"/>
      <c r="F377" s="104"/>
      <c r="G377" s="104"/>
      <c r="H377" s="104"/>
    </row>
    <row r="378" spans="2:8">
      <c r="B378" s="104"/>
      <c r="C378" s="104"/>
      <c r="D378" s="104"/>
      <c r="E378" s="104"/>
      <c r="F378" s="104"/>
      <c r="G378" s="104"/>
      <c r="H378" s="104"/>
    </row>
    <row r="379" spans="2:8">
      <c r="B379" s="104"/>
      <c r="C379" s="104"/>
      <c r="D379" s="104"/>
      <c r="E379" s="104"/>
      <c r="F379" s="104"/>
      <c r="G379" s="104"/>
      <c r="H379" s="104"/>
    </row>
    <row r="380" spans="2:8">
      <c r="B380" s="104"/>
      <c r="C380" s="104"/>
      <c r="D380" s="104"/>
      <c r="E380" s="104"/>
      <c r="F380" s="104"/>
      <c r="G380" s="104"/>
      <c r="H380" s="104"/>
    </row>
    <row r="381" spans="2:8">
      <c r="B381" s="104"/>
      <c r="C381" s="104"/>
      <c r="D381" s="104"/>
      <c r="E381" s="104"/>
      <c r="F381" s="104"/>
      <c r="G381" s="104"/>
      <c r="H381" s="104"/>
    </row>
    <row r="382" spans="2:8">
      <c r="B382" s="104"/>
      <c r="C382" s="104"/>
      <c r="D382" s="104"/>
      <c r="E382" s="104"/>
      <c r="F382" s="104"/>
      <c r="G382" s="104"/>
      <c r="H382" s="104"/>
    </row>
    <row r="383" spans="2:8">
      <c r="B383" s="104"/>
      <c r="C383" s="104"/>
      <c r="D383" s="104"/>
      <c r="E383" s="104"/>
      <c r="F383" s="104"/>
      <c r="G383" s="104"/>
      <c r="H383" s="104"/>
    </row>
    <row r="384" spans="2:8">
      <c r="B384" s="104"/>
      <c r="C384" s="104"/>
      <c r="D384" s="104"/>
      <c r="E384" s="104"/>
      <c r="F384" s="104"/>
      <c r="G384" s="104"/>
      <c r="H384" s="104"/>
    </row>
    <row r="385" spans="2:8">
      <c r="B385" s="104"/>
      <c r="C385" s="104"/>
      <c r="D385" s="104"/>
      <c r="E385" s="104"/>
      <c r="F385" s="104"/>
      <c r="G385" s="104"/>
      <c r="H385" s="104"/>
    </row>
    <row r="386" spans="2:8">
      <c r="B386" s="104"/>
      <c r="C386" s="104"/>
      <c r="D386" s="104"/>
      <c r="E386" s="104"/>
      <c r="F386" s="104"/>
      <c r="G386" s="104"/>
      <c r="H386" s="104"/>
    </row>
    <row r="387" spans="2:8">
      <c r="B387" s="104"/>
      <c r="C387" s="104"/>
      <c r="D387" s="104"/>
      <c r="E387" s="104"/>
      <c r="F387" s="104"/>
      <c r="G387" s="104"/>
      <c r="H387" s="104"/>
    </row>
    <row r="388" spans="2:8">
      <c r="B388" s="104"/>
      <c r="C388" s="104"/>
      <c r="D388" s="104"/>
      <c r="E388" s="104"/>
      <c r="F388" s="104"/>
      <c r="G388" s="104"/>
      <c r="H388" s="104"/>
    </row>
    <row r="389" spans="2:8">
      <c r="B389" s="104"/>
      <c r="C389" s="104"/>
      <c r="D389" s="104"/>
      <c r="E389" s="104"/>
      <c r="F389" s="104"/>
      <c r="G389" s="104"/>
      <c r="H389" s="104"/>
    </row>
    <row r="390" spans="2:8">
      <c r="B390" s="104"/>
      <c r="C390" s="104"/>
      <c r="D390" s="104"/>
      <c r="E390" s="104"/>
      <c r="F390" s="104"/>
      <c r="G390" s="104"/>
      <c r="H390" s="104"/>
    </row>
    <row r="391" spans="2:8">
      <c r="B391" s="104"/>
      <c r="C391" s="104"/>
      <c r="D391" s="104"/>
      <c r="E391" s="104"/>
      <c r="F391" s="104"/>
      <c r="G391" s="104"/>
      <c r="H391" s="104"/>
    </row>
    <row r="392" spans="2:8">
      <c r="B392" s="104"/>
      <c r="C392" s="104"/>
      <c r="D392" s="104"/>
      <c r="E392" s="104"/>
      <c r="F392" s="104"/>
      <c r="G392" s="104"/>
      <c r="H392" s="104"/>
    </row>
    <row r="393" spans="2:8">
      <c r="B393" s="104"/>
      <c r="C393" s="104"/>
      <c r="D393" s="104"/>
      <c r="E393" s="104"/>
      <c r="F393" s="104"/>
      <c r="G393" s="104"/>
      <c r="H393" s="104"/>
    </row>
    <row r="394" spans="2:8">
      <c r="B394" s="104"/>
      <c r="C394" s="104"/>
      <c r="D394" s="104"/>
      <c r="E394" s="104"/>
      <c r="F394" s="104"/>
      <c r="G394" s="104"/>
      <c r="H394" s="104"/>
    </row>
    <row r="395" spans="2:8">
      <c r="B395" s="104"/>
      <c r="C395" s="104"/>
      <c r="D395" s="104"/>
      <c r="E395" s="104"/>
      <c r="F395" s="104"/>
      <c r="G395" s="104"/>
      <c r="H395" s="104"/>
    </row>
    <row r="396" spans="2:8">
      <c r="B396" s="104"/>
      <c r="C396" s="104"/>
      <c r="D396" s="104"/>
      <c r="E396" s="104"/>
      <c r="F396" s="104"/>
      <c r="G396" s="104"/>
      <c r="H396" s="104"/>
    </row>
    <row r="397" spans="2:8">
      <c r="B397" s="104"/>
      <c r="C397" s="104"/>
      <c r="D397" s="104"/>
      <c r="E397" s="104"/>
      <c r="F397" s="104"/>
      <c r="G397" s="104"/>
      <c r="H397" s="104"/>
    </row>
    <row r="398" spans="2:8">
      <c r="B398" s="104"/>
      <c r="C398" s="104"/>
      <c r="D398" s="104"/>
      <c r="E398" s="104"/>
      <c r="F398" s="104"/>
      <c r="G398" s="104"/>
      <c r="H398" s="104"/>
    </row>
    <row r="399" spans="2:8">
      <c r="B399" s="104"/>
      <c r="C399" s="104"/>
      <c r="D399" s="104"/>
      <c r="E399" s="104"/>
      <c r="F399" s="104"/>
      <c r="G399" s="104"/>
      <c r="H399" s="104"/>
    </row>
    <row r="400" spans="2:8">
      <c r="B400" s="104"/>
      <c r="C400" s="104"/>
      <c r="D400" s="104"/>
      <c r="E400" s="104"/>
      <c r="F400" s="104"/>
      <c r="G400" s="104"/>
      <c r="H400" s="104"/>
    </row>
    <row r="401" spans="2:8">
      <c r="B401" s="104"/>
      <c r="C401" s="104"/>
      <c r="D401" s="104"/>
      <c r="E401" s="104"/>
      <c r="F401" s="104"/>
      <c r="G401" s="104"/>
      <c r="H401" s="104"/>
    </row>
    <row r="402" spans="2:8">
      <c r="B402" s="104"/>
      <c r="C402" s="104"/>
      <c r="D402" s="104"/>
      <c r="E402" s="104"/>
      <c r="F402" s="104"/>
      <c r="G402" s="104"/>
      <c r="H402" s="104"/>
    </row>
    <row r="403" spans="2:8">
      <c r="B403" s="104"/>
      <c r="C403" s="104"/>
      <c r="D403" s="104"/>
      <c r="E403" s="104"/>
      <c r="F403" s="104"/>
      <c r="G403" s="104"/>
      <c r="H403" s="104"/>
    </row>
    <row r="404" spans="2:8">
      <c r="B404" s="104"/>
      <c r="C404" s="104"/>
      <c r="D404" s="104"/>
      <c r="E404" s="104"/>
      <c r="F404" s="104"/>
      <c r="G404" s="104"/>
      <c r="H404" s="104"/>
    </row>
    <row r="405" spans="2:8">
      <c r="B405" s="104"/>
      <c r="C405" s="104"/>
      <c r="D405" s="104"/>
      <c r="E405" s="104"/>
      <c r="F405" s="104"/>
      <c r="G405" s="104"/>
      <c r="H405" s="104"/>
    </row>
    <row r="406" spans="2:8">
      <c r="B406" s="104"/>
      <c r="C406" s="104"/>
      <c r="D406" s="104"/>
      <c r="E406" s="104"/>
      <c r="F406" s="104"/>
      <c r="G406" s="104"/>
      <c r="H406" s="104"/>
    </row>
    <row r="407" spans="2:8">
      <c r="B407" s="104"/>
      <c r="C407" s="104"/>
      <c r="D407" s="104"/>
      <c r="E407" s="104"/>
      <c r="F407" s="104"/>
      <c r="G407" s="104"/>
      <c r="H407" s="104"/>
    </row>
    <row r="408" spans="2:8">
      <c r="B408" s="104"/>
      <c r="C408" s="104"/>
      <c r="D408" s="104"/>
      <c r="E408" s="104"/>
      <c r="F408" s="104"/>
      <c r="G408" s="104"/>
      <c r="H408" s="104"/>
    </row>
    <row r="409" spans="2:8">
      <c r="B409" s="104"/>
      <c r="C409" s="104"/>
      <c r="D409" s="104"/>
      <c r="E409" s="104"/>
      <c r="F409" s="104"/>
      <c r="G409" s="104"/>
      <c r="H409" s="104"/>
    </row>
    <row r="410" spans="2:8">
      <c r="B410" s="104"/>
      <c r="C410" s="104"/>
      <c r="D410" s="104"/>
      <c r="E410" s="104"/>
      <c r="F410" s="104"/>
      <c r="G410" s="104"/>
      <c r="H410" s="104"/>
    </row>
    <row r="411" spans="2:8">
      <c r="B411" s="104"/>
      <c r="C411" s="104"/>
      <c r="D411" s="104"/>
      <c r="E411" s="104"/>
      <c r="F411" s="104"/>
      <c r="G411" s="104"/>
      <c r="H411" s="104"/>
    </row>
    <row r="412" spans="2:8">
      <c r="B412" s="104"/>
      <c r="C412" s="104"/>
      <c r="D412" s="104"/>
      <c r="E412" s="104"/>
      <c r="F412" s="104"/>
      <c r="G412" s="104"/>
      <c r="H412" s="104"/>
    </row>
    <row r="413" spans="2:8">
      <c r="B413" s="104"/>
      <c r="C413" s="104"/>
      <c r="D413" s="104"/>
      <c r="E413" s="104"/>
      <c r="F413" s="104"/>
      <c r="G413" s="104"/>
      <c r="H413" s="104"/>
    </row>
    <row r="414" spans="2:8">
      <c r="B414" s="104"/>
      <c r="C414" s="104"/>
      <c r="D414" s="104"/>
      <c r="E414" s="104"/>
      <c r="F414" s="104"/>
      <c r="G414" s="104"/>
      <c r="H414" s="104"/>
    </row>
    <row r="415" spans="2:8">
      <c r="B415" s="104"/>
      <c r="C415" s="104"/>
      <c r="D415" s="104"/>
      <c r="E415" s="104"/>
      <c r="F415" s="104"/>
      <c r="G415" s="104"/>
      <c r="H415" s="104"/>
    </row>
    <row r="416" spans="2:8">
      <c r="B416" s="104"/>
      <c r="C416" s="104"/>
      <c r="D416" s="104"/>
      <c r="E416" s="104"/>
      <c r="F416" s="104"/>
      <c r="G416" s="104"/>
      <c r="H416" s="104"/>
    </row>
    <row r="417" spans="2:8">
      <c r="B417" s="104"/>
      <c r="C417" s="104"/>
      <c r="D417" s="104"/>
      <c r="E417" s="104"/>
      <c r="F417" s="104"/>
      <c r="G417" s="104"/>
      <c r="H417" s="104"/>
    </row>
    <row r="418" spans="2:8">
      <c r="B418" s="104"/>
      <c r="C418" s="104"/>
      <c r="D418" s="104"/>
      <c r="E418" s="104"/>
      <c r="F418" s="104"/>
      <c r="G418" s="104"/>
      <c r="H418" s="104"/>
    </row>
    <row r="419" spans="2:8">
      <c r="B419" s="104"/>
      <c r="C419" s="104"/>
      <c r="D419" s="104"/>
      <c r="E419" s="104"/>
      <c r="F419" s="104"/>
      <c r="G419" s="104"/>
      <c r="H419" s="104"/>
    </row>
    <row r="420" spans="2:8">
      <c r="B420" s="104"/>
      <c r="C420" s="104"/>
      <c r="D420" s="104"/>
      <c r="E420" s="104"/>
      <c r="F420" s="104"/>
      <c r="G420" s="104"/>
      <c r="H420" s="104"/>
    </row>
    <row r="421" spans="2:8">
      <c r="B421" s="104"/>
      <c r="C421" s="104"/>
      <c r="D421" s="104"/>
      <c r="E421" s="104"/>
      <c r="F421" s="104"/>
      <c r="G421" s="104"/>
      <c r="H421" s="104"/>
    </row>
    <row r="422" spans="2:8">
      <c r="B422" s="104"/>
      <c r="C422" s="104"/>
      <c r="D422" s="104"/>
      <c r="E422" s="104"/>
      <c r="F422" s="104"/>
      <c r="G422" s="104"/>
      <c r="H422" s="104"/>
    </row>
    <row r="423" spans="2:8">
      <c r="B423" s="104"/>
      <c r="C423" s="104"/>
      <c r="D423" s="104"/>
      <c r="E423" s="104"/>
      <c r="F423" s="104"/>
      <c r="G423" s="104"/>
      <c r="H423" s="104"/>
    </row>
    <row r="424" spans="2:8">
      <c r="B424" s="104"/>
      <c r="C424" s="104"/>
      <c r="D424" s="104"/>
      <c r="E424" s="104"/>
      <c r="F424" s="104"/>
      <c r="G424" s="104"/>
      <c r="H424" s="104"/>
    </row>
    <row r="425" spans="2:8">
      <c r="B425" s="104"/>
      <c r="C425" s="104"/>
      <c r="D425" s="104"/>
      <c r="E425" s="104"/>
      <c r="F425" s="104"/>
      <c r="G425" s="104"/>
      <c r="H425" s="104"/>
    </row>
    <row r="426" spans="2:8">
      <c r="B426" s="104"/>
      <c r="C426" s="104"/>
      <c r="D426" s="104"/>
      <c r="E426" s="104"/>
      <c r="F426" s="104"/>
      <c r="G426" s="104"/>
      <c r="H426" s="104"/>
    </row>
    <row r="427" spans="2:8">
      <c r="B427" s="104"/>
      <c r="C427" s="104"/>
      <c r="D427" s="104"/>
      <c r="E427" s="104"/>
      <c r="F427" s="104"/>
      <c r="G427" s="104"/>
      <c r="H427" s="104"/>
    </row>
    <row r="428" spans="2:8">
      <c r="B428" s="104"/>
      <c r="C428" s="104"/>
      <c r="D428" s="104"/>
      <c r="E428" s="104"/>
      <c r="F428" s="104"/>
      <c r="G428" s="104"/>
      <c r="H428" s="104"/>
    </row>
    <row r="429" spans="2:8">
      <c r="B429" s="104"/>
      <c r="C429" s="104"/>
      <c r="D429" s="104"/>
      <c r="E429" s="104"/>
      <c r="F429" s="104"/>
      <c r="G429" s="104"/>
      <c r="H429" s="104"/>
    </row>
    <row r="430" spans="2:8">
      <c r="B430" s="104"/>
      <c r="C430" s="104"/>
      <c r="D430" s="104"/>
      <c r="E430" s="104"/>
      <c r="F430" s="104"/>
      <c r="G430" s="104"/>
      <c r="H430" s="104"/>
    </row>
    <row r="431" spans="2:8">
      <c r="B431" s="104"/>
      <c r="C431" s="104"/>
      <c r="D431" s="104"/>
      <c r="E431" s="104"/>
      <c r="F431" s="104"/>
      <c r="G431" s="104"/>
      <c r="H431" s="104"/>
    </row>
    <row r="432" spans="2:8">
      <c r="B432" s="104"/>
      <c r="C432" s="104"/>
      <c r="D432" s="104"/>
      <c r="E432" s="104"/>
      <c r="F432" s="104"/>
      <c r="G432" s="104"/>
      <c r="H432" s="104"/>
    </row>
    <row r="433" spans="2:8">
      <c r="B433" s="104"/>
      <c r="C433" s="104"/>
      <c r="D433" s="104"/>
      <c r="E433" s="104"/>
      <c r="F433" s="104"/>
      <c r="G433" s="104"/>
      <c r="H433" s="104"/>
    </row>
    <row r="434" spans="2:8">
      <c r="B434" s="104"/>
      <c r="C434" s="104"/>
      <c r="D434" s="104"/>
      <c r="E434" s="104"/>
      <c r="F434" s="104"/>
      <c r="G434" s="104"/>
      <c r="H434" s="104"/>
    </row>
    <row r="435" spans="2:8">
      <c r="B435" s="104"/>
      <c r="C435" s="104"/>
      <c r="D435" s="104"/>
      <c r="E435" s="104"/>
      <c r="F435" s="104"/>
      <c r="G435" s="104"/>
      <c r="H435" s="104"/>
    </row>
    <row r="436" spans="2:8">
      <c r="B436" s="104"/>
      <c r="C436" s="104"/>
      <c r="D436" s="104"/>
      <c r="E436" s="104"/>
      <c r="F436" s="104"/>
      <c r="G436" s="104"/>
      <c r="H436" s="104"/>
    </row>
    <row r="437" spans="2:8">
      <c r="B437" s="104"/>
      <c r="C437" s="104"/>
      <c r="D437" s="104"/>
      <c r="E437" s="104"/>
      <c r="F437" s="104"/>
      <c r="G437" s="104"/>
      <c r="H437" s="104"/>
    </row>
    <row r="438" spans="2:8">
      <c r="B438" s="104"/>
      <c r="C438" s="104"/>
      <c r="D438" s="104"/>
      <c r="E438" s="104"/>
      <c r="F438" s="104"/>
      <c r="G438" s="104"/>
      <c r="H438" s="104"/>
    </row>
    <row r="439" spans="2:8">
      <c r="B439" s="104"/>
      <c r="C439" s="104"/>
      <c r="D439" s="104"/>
      <c r="E439" s="104"/>
      <c r="F439" s="104"/>
      <c r="G439" s="104"/>
      <c r="H439" s="104"/>
    </row>
    <row r="440" spans="2:8">
      <c r="B440" s="104"/>
      <c r="C440" s="104"/>
      <c r="D440" s="104"/>
      <c r="E440" s="104"/>
      <c r="F440" s="104"/>
      <c r="G440" s="104"/>
      <c r="H440" s="104"/>
    </row>
    <row r="441" spans="2:8">
      <c r="B441" s="104"/>
      <c r="C441" s="104"/>
      <c r="D441" s="104"/>
      <c r="E441" s="104"/>
      <c r="F441" s="104"/>
      <c r="G441" s="104"/>
      <c r="H441" s="104"/>
    </row>
    <row r="442" spans="2:8">
      <c r="B442" s="104"/>
      <c r="C442" s="104"/>
      <c r="D442" s="104"/>
      <c r="E442" s="104"/>
      <c r="F442" s="104"/>
      <c r="G442" s="104"/>
      <c r="H442" s="104"/>
    </row>
    <row r="443" spans="2:8">
      <c r="B443" s="104"/>
      <c r="C443" s="104"/>
      <c r="D443" s="104"/>
      <c r="E443" s="104"/>
      <c r="F443" s="104"/>
      <c r="G443" s="104"/>
      <c r="H443" s="104"/>
    </row>
    <row r="444" spans="2:8">
      <c r="B444" s="104"/>
      <c r="C444" s="104"/>
      <c r="D444" s="104"/>
      <c r="E444" s="104"/>
      <c r="F444" s="104"/>
      <c r="G444" s="104"/>
      <c r="H444" s="104"/>
    </row>
    <row r="445" spans="2:8">
      <c r="B445" s="104"/>
      <c r="C445" s="104"/>
      <c r="D445" s="104"/>
      <c r="E445" s="104"/>
      <c r="F445" s="104"/>
      <c r="G445" s="104"/>
      <c r="H445" s="104"/>
    </row>
    <row r="446" spans="2:8">
      <c r="B446" s="104"/>
      <c r="C446" s="104"/>
      <c r="D446" s="104"/>
      <c r="E446" s="104"/>
      <c r="F446" s="104"/>
      <c r="G446" s="104"/>
      <c r="H446" s="104"/>
    </row>
    <row r="447" spans="2:8">
      <c r="B447" s="104"/>
      <c r="C447" s="104"/>
      <c r="D447" s="104"/>
      <c r="E447" s="104"/>
      <c r="F447" s="104"/>
      <c r="G447" s="104"/>
      <c r="H447" s="104"/>
    </row>
    <row r="448" spans="2:8">
      <c r="B448" s="104"/>
      <c r="C448" s="104"/>
      <c r="D448" s="104"/>
      <c r="E448" s="104"/>
      <c r="F448" s="104"/>
      <c r="G448" s="104"/>
      <c r="H448" s="104"/>
    </row>
    <row r="449" spans="2:8">
      <c r="B449" s="104"/>
      <c r="C449" s="104"/>
      <c r="D449" s="104"/>
      <c r="E449" s="104"/>
      <c r="F449" s="104"/>
      <c r="G449" s="104"/>
      <c r="H449" s="104"/>
    </row>
    <row r="450" spans="2:8">
      <c r="B450" s="104"/>
      <c r="C450" s="104"/>
      <c r="D450" s="104"/>
      <c r="E450" s="104"/>
      <c r="F450" s="104"/>
      <c r="G450" s="104"/>
      <c r="H450" s="104"/>
    </row>
    <row r="451" spans="2:8">
      <c r="B451" s="104"/>
      <c r="C451" s="104"/>
      <c r="D451" s="104"/>
      <c r="E451" s="104"/>
      <c r="F451" s="104"/>
      <c r="G451" s="104"/>
      <c r="H451" s="104"/>
    </row>
    <row r="452" spans="2:8">
      <c r="B452" s="104"/>
      <c r="C452" s="104"/>
      <c r="D452" s="104"/>
      <c r="E452" s="104"/>
      <c r="F452" s="104"/>
      <c r="G452" s="104"/>
      <c r="H452" s="104"/>
    </row>
    <row r="453" spans="2:8">
      <c r="B453" s="104"/>
      <c r="C453" s="104"/>
      <c r="D453" s="104"/>
      <c r="E453" s="104"/>
      <c r="F453" s="104"/>
      <c r="G453" s="104"/>
      <c r="H453" s="104"/>
    </row>
    <row r="454" spans="2:8">
      <c r="B454" s="104"/>
      <c r="C454" s="104"/>
      <c r="D454" s="104"/>
      <c r="E454" s="104"/>
      <c r="F454" s="104"/>
      <c r="G454" s="104"/>
      <c r="H454" s="104"/>
    </row>
    <row r="455" spans="2:8">
      <c r="B455" s="104"/>
      <c r="C455" s="104"/>
      <c r="D455" s="104"/>
      <c r="E455" s="104"/>
      <c r="F455" s="104"/>
      <c r="G455" s="104"/>
      <c r="H455" s="104"/>
    </row>
    <row r="456" spans="2:8">
      <c r="B456" s="104"/>
      <c r="C456" s="104"/>
      <c r="D456" s="104"/>
      <c r="E456" s="104"/>
      <c r="F456" s="104"/>
      <c r="G456" s="104"/>
      <c r="H456" s="104"/>
    </row>
    <row r="457" spans="2:8">
      <c r="B457" s="104"/>
      <c r="C457" s="104"/>
      <c r="D457" s="104"/>
      <c r="E457" s="104"/>
      <c r="F457" s="104"/>
      <c r="G457" s="104"/>
      <c r="H457" s="104"/>
    </row>
    <row r="458" spans="2:8">
      <c r="B458" s="104"/>
      <c r="C458" s="104"/>
      <c r="D458" s="104"/>
      <c r="E458" s="104"/>
      <c r="F458" s="104"/>
      <c r="G458" s="104"/>
      <c r="H458" s="104"/>
    </row>
    <row r="459" spans="2:8">
      <c r="B459" s="104"/>
      <c r="C459" s="104"/>
      <c r="D459" s="104"/>
      <c r="E459" s="104"/>
      <c r="F459" s="104"/>
      <c r="G459" s="104"/>
      <c r="H459" s="104"/>
    </row>
    <row r="460" spans="2:8">
      <c r="B460" s="104"/>
      <c r="C460" s="104"/>
      <c r="D460" s="104"/>
      <c r="E460" s="104"/>
      <c r="F460" s="104"/>
      <c r="G460" s="104"/>
      <c r="H460" s="104"/>
    </row>
    <row r="461" spans="2:8">
      <c r="B461" s="104"/>
      <c r="C461" s="104"/>
      <c r="D461" s="104"/>
      <c r="E461" s="104"/>
      <c r="F461" s="104"/>
      <c r="G461" s="104"/>
      <c r="H461" s="104"/>
    </row>
    <row r="462" spans="2:8">
      <c r="B462" s="104"/>
      <c r="C462" s="104"/>
      <c r="D462" s="104"/>
      <c r="E462" s="104"/>
      <c r="F462" s="104"/>
      <c r="G462" s="104"/>
      <c r="H462" s="104"/>
    </row>
    <row r="463" spans="2:8">
      <c r="B463" s="104"/>
      <c r="C463" s="104"/>
      <c r="D463" s="104"/>
      <c r="E463" s="104"/>
      <c r="F463" s="104"/>
      <c r="G463" s="104"/>
      <c r="H463" s="104"/>
    </row>
    <row r="464" spans="2:8">
      <c r="B464" s="104"/>
      <c r="C464" s="104"/>
      <c r="D464" s="104"/>
      <c r="E464" s="104"/>
      <c r="F464" s="104"/>
      <c r="G464" s="104"/>
      <c r="H464" s="104"/>
    </row>
    <row r="465" spans="2:8">
      <c r="B465" s="104"/>
      <c r="C465" s="104"/>
      <c r="D465" s="104"/>
      <c r="E465" s="104"/>
      <c r="F465" s="104"/>
      <c r="G465" s="104"/>
      <c r="H465" s="104"/>
    </row>
    <row r="466" spans="2:8">
      <c r="B466" s="104"/>
      <c r="C466" s="104"/>
      <c r="D466" s="104"/>
      <c r="E466" s="104"/>
      <c r="F466" s="104"/>
      <c r="G466" s="104"/>
      <c r="H466" s="104"/>
    </row>
    <row r="467" spans="2:8">
      <c r="B467" s="104"/>
      <c r="C467" s="104"/>
      <c r="D467" s="104"/>
      <c r="E467" s="104"/>
      <c r="F467" s="104"/>
      <c r="G467" s="104"/>
      <c r="H467" s="104"/>
    </row>
    <row r="468" spans="2:8">
      <c r="B468" s="104"/>
      <c r="C468" s="104"/>
      <c r="D468" s="104"/>
      <c r="E468" s="104"/>
      <c r="F468" s="104"/>
      <c r="G468" s="104"/>
      <c r="H468" s="104"/>
    </row>
    <row r="469" spans="2:8">
      <c r="B469" s="104"/>
      <c r="C469" s="104"/>
      <c r="D469" s="104"/>
      <c r="E469" s="104"/>
      <c r="F469" s="104"/>
      <c r="G469" s="104"/>
      <c r="H469" s="104"/>
    </row>
    <row r="470" spans="2:8">
      <c r="B470" s="104"/>
      <c r="C470" s="104"/>
      <c r="D470" s="104"/>
      <c r="E470" s="104"/>
      <c r="F470" s="104"/>
      <c r="G470" s="104"/>
      <c r="H470" s="104"/>
    </row>
    <row r="471" spans="2:8">
      <c r="B471" s="104"/>
      <c r="C471" s="104"/>
      <c r="D471" s="104"/>
      <c r="E471" s="104"/>
      <c r="F471" s="104"/>
      <c r="G471" s="104"/>
      <c r="H471" s="104"/>
    </row>
    <row r="472" spans="2:8">
      <c r="B472" s="104"/>
      <c r="C472" s="104"/>
      <c r="D472" s="104"/>
      <c r="E472" s="104"/>
      <c r="F472" s="104"/>
      <c r="G472" s="104"/>
      <c r="H472" s="104"/>
    </row>
    <row r="473" spans="2:8">
      <c r="B473" s="104"/>
      <c r="C473" s="104"/>
      <c r="D473" s="104"/>
      <c r="E473" s="104"/>
      <c r="F473" s="104"/>
      <c r="G473" s="104"/>
      <c r="H473" s="104"/>
    </row>
    <row r="474" spans="2:8">
      <c r="B474" s="104"/>
      <c r="C474" s="104"/>
      <c r="D474" s="104"/>
      <c r="E474" s="104"/>
      <c r="F474" s="104"/>
      <c r="G474" s="104"/>
      <c r="H474" s="104"/>
    </row>
    <row r="475" spans="2:8">
      <c r="B475" s="104"/>
      <c r="C475" s="104"/>
      <c r="D475" s="104"/>
      <c r="E475" s="104"/>
      <c r="F475" s="104"/>
      <c r="G475" s="104"/>
      <c r="H475" s="104"/>
    </row>
    <row r="476" spans="2:8">
      <c r="B476" s="104"/>
      <c r="C476" s="104"/>
      <c r="D476" s="104"/>
      <c r="E476" s="104"/>
      <c r="F476" s="104"/>
      <c r="G476" s="104"/>
      <c r="H476" s="104"/>
    </row>
    <row r="477" spans="2:8">
      <c r="B477" s="104"/>
      <c r="C477" s="104"/>
      <c r="D477" s="104"/>
      <c r="E477" s="104"/>
      <c r="F477" s="104"/>
      <c r="G477" s="104"/>
      <c r="H477" s="104"/>
    </row>
    <row r="478" spans="2:8">
      <c r="B478" s="104"/>
      <c r="C478" s="104"/>
      <c r="D478" s="104"/>
      <c r="E478" s="104"/>
      <c r="F478" s="104"/>
      <c r="G478" s="104"/>
      <c r="H478" s="104"/>
    </row>
    <row r="479" spans="2:8">
      <c r="B479" s="104"/>
      <c r="C479" s="104"/>
      <c r="D479" s="104"/>
      <c r="E479" s="104"/>
      <c r="F479" s="104"/>
      <c r="G479" s="104"/>
      <c r="H479" s="104"/>
    </row>
    <row r="480" spans="2:8">
      <c r="B480" s="104"/>
      <c r="C480" s="104"/>
      <c r="D480" s="104"/>
      <c r="E480" s="104"/>
      <c r="F480" s="104"/>
      <c r="G480" s="104"/>
      <c r="H480" s="104"/>
    </row>
    <row r="481" spans="2:8">
      <c r="B481" s="104"/>
      <c r="C481" s="104"/>
      <c r="D481" s="104"/>
      <c r="E481" s="104"/>
      <c r="F481" s="104"/>
      <c r="G481" s="104"/>
      <c r="H481" s="104"/>
    </row>
    <row r="482" spans="2:8">
      <c r="B482" s="104"/>
      <c r="C482" s="104"/>
      <c r="D482" s="104"/>
      <c r="E482" s="104"/>
      <c r="F482" s="104"/>
      <c r="G482" s="104"/>
      <c r="H482" s="104"/>
    </row>
    <row r="483" spans="2:8">
      <c r="B483" s="104"/>
      <c r="C483" s="104"/>
      <c r="D483" s="104"/>
      <c r="E483" s="104"/>
      <c r="F483" s="104"/>
      <c r="G483" s="104"/>
      <c r="H483" s="104"/>
    </row>
    <row r="484" spans="2:8">
      <c r="B484" s="104"/>
      <c r="C484" s="104"/>
      <c r="D484" s="104"/>
      <c r="E484" s="104"/>
      <c r="F484" s="104"/>
      <c r="G484" s="104"/>
      <c r="H484" s="104"/>
    </row>
    <row r="485" spans="2:8">
      <c r="B485" s="104"/>
      <c r="C485" s="104"/>
      <c r="D485" s="104"/>
      <c r="E485" s="104"/>
      <c r="F485" s="104"/>
      <c r="G485" s="104"/>
      <c r="H485" s="104"/>
    </row>
    <row r="486" spans="2:8">
      <c r="B486" s="104"/>
      <c r="C486" s="104"/>
      <c r="D486" s="104"/>
      <c r="E486" s="104"/>
      <c r="F486" s="104"/>
      <c r="G486" s="104"/>
      <c r="H486" s="104"/>
    </row>
    <row r="487" spans="2:8">
      <c r="B487" s="104"/>
      <c r="C487" s="104"/>
      <c r="D487" s="104"/>
      <c r="E487" s="104"/>
      <c r="F487" s="104"/>
      <c r="G487" s="104"/>
      <c r="H487" s="104"/>
    </row>
    <row r="488" spans="2:8">
      <c r="B488" s="104"/>
      <c r="C488" s="104"/>
      <c r="D488" s="104"/>
      <c r="E488" s="104"/>
      <c r="F488" s="104"/>
      <c r="G488" s="104"/>
      <c r="H488" s="104"/>
    </row>
    <row r="489" spans="2:8">
      <c r="B489" s="104"/>
      <c r="C489" s="104"/>
      <c r="D489" s="104"/>
      <c r="E489" s="104"/>
      <c r="F489" s="104"/>
      <c r="G489" s="104"/>
      <c r="H489" s="104"/>
    </row>
    <row r="490" spans="2:8">
      <c r="B490" s="104"/>
      <c r="C490" s="104"/>
      <c r="D490" s="104"/>
      <c r="E490" s="104"/>
      <c r="F490" s="104"/>
      <c r="G490" s="104"/>
      <c r="H490" s="104"/>
    </row>
    <row r="491" spans="2:8">
      <c r="B491" s="104"/>
      <c r="C491" s="104"/>
      <c r="D491" s="104"/>
      <c r="E491" s="104"/>
      <c r="F491" s="104"/>
      <c r="G491" s="104"/>
      <c r="H491" s="104"/>
    </row>
    <row r="492" spans="2:8">
      <c r="B492" s="104"/>
      <c r="C492" s="104"/>
      <c r="D492" s="104"/>
      <c r="E492" s="104"/>
      <c r="F492" s="104"/>
      <c r="G492" s="104"/>
      <c r="H492" s="104"/>
    </row>
    <row r="493" spans="2:8">
      <c r="B493" s="104"/>
      <c r="C493" s="104"/>
      <c r="D493" s="104"/>
      <c r="E493" s="104"/>
      <c r="F493" s="104"/>
      <c r="G493" s="104"/>
      <c r="H493" s="104"/>
    </row>
    <row r="494" spans="2:8">
      <c r="B494" s="104"/>
      <c r="C494" s="104"/>
      <c r="D494" s="104"/>
      <c r="E494" s="104"/>
      <c r="F494" s="104"/>
      <c r="G494" s="104"/>
      <c r="H494" s="104"/>
    </row>
    <row r="495" spans="2:8">
      <c r="B495" s="104"/>
      <c r="C495" s="104"/>
      <c r="D495" s="104"/>
      <c r="E495" s="104"/>
      <c r="F495" s="104"/>
      <c r="G495" s="104"/>
      <c r="H495" s="104"/>
    </row>
    <row r="496" spans="2:8">
      <c r="B496" s="104"/>
      <c r="C496" s="104"/>
      <c r="D496" s="104"/>
      <c r="E496" s="104"/>
      <c r="F496" s="104"/>
      <c r="G496" s="104"/>
      <c r="H496" s="104"/>
    </row>
    <row r="497" spans="2:8">
      <c r="B497" s="104"/>
      <c r="C497" s="104"/>
      <c r="D497" s="104"/>
      <c r="E497" s="104"/>
      <c r="F497" s="104"/>
      <c r="G497" s="104"/>
      <c r="H497" s="104"/>
    </row>
    <row r="498" spans="2:8">
      <c r="B498" s="104"/>
      <c r="C498" s="104"/>
      <c r="D498" s="104"/>
      <c r="E498" s="104"/>
      <c r="F498" s="104"/>
      <c r="G498" s="104"/>
      <c r="H498" s="104"/>
    </row>
    <row r="499" spans="2:8">
      <c r="B499" s="104"/>
      <c r="C499" s="104"/>
      <c r="D499" s="104"/>
      <c r="E499" s="104"/>
      <c r="F499" s="104"/>
      <c r="G499" s="104"/>
      <c r="H499" s="104"/>
    </row>
    <row r="500" spans="2:8">
      <c r="B500" s="104"/>
      <c r="C500" s="104"/>
      <c r="D500" s="104"/>
      <c r="E500" s="104"/>
      <c r="F500" s="104"/>
      <c r="G500" s="104"/>
      <c r="H500" s="104"/>
    </row>
    <row r="501" spans="2:8">
      <c r="B501" s="104"/>
      <c r="C501" s="104"/>
      <c r="D501" s="104"/>
      <c r="E501" s="104"/>
      <c r="F501" s="104"/>
      <c r="G501" s="104"/>
      <c r="H501" s="104"/>
    </row>
    <row r="502" spans="2:8">
      <c r="B502" s="104"/>
      <c r="C502" s="104"/>
      <c r="D502" s="104"/>
      <c r="E502" s="104"/>
      <c r="F502" s="104"/>
      <c r="G502" s="104"/>
      <c r="H502" s="104"/>
    </row>
    <row r="503" spans="2:8">
      <c r="B503" s="104"/>
      <c r="C503" s="104"/>
      <c r="D503" s="104"/>
      <c r="E503" s="104"/>
      <c r="F503" s="104"/>
      <c r="G503" s="104"/>
      <c r="H503" s="104"/>
    </row>
    <row r="504" spans="2:8">
      <c r="B504" s="104"/>
      <c r="C504" s="104"/>
      <c r="D504" s="104"/>
      <c r="E504" s="104"/>
      <c r="F504" s="104"/>
      <c r="G504" s="104"/>
      <c r="H504" s="104"/>
    </row>
    <row r="505" spans="2:8">
      <c r="B505" s="104"/>
      <c r="C505" s="104"/>
      <c r="D505" s="104"/>
      <c r="E505" s="104"/>
      <c r="F505" s="104"/>
      <c r="G505" s="104"/>
      <c r="H505" s="104"/>
    </row>
    <row r="506" spans="2:8">
      <c r="B506" s="104"/>
      <c r="C506" s="104"/>
      <c r="D506" s="104"/>
      <c r="E506" s="104"/>
      <c r="F506" s="104"/>
      <c r="G506" s="104"/>
      <c r="H506" s="104"/>
    </row>
    <row r="507" spans="2:8">
      <c r="B507" s="104"/>
      <c r="C507" s="104"/>
      <c r="D507" s="104"/>
      <c r="E507" s="104"/>
      <c r="F507" s="104"/>
      <c r="G507" s="104"/>
      <c r="H507" s="104"/>
    </row>
    <row r="508" spans="2:8">
      <c r="B508" s="104"/>
      <c r="C508" s="104"/>
      <c r="D508" s="104"/>
      <c r="E508" s="104"/>
      <c r="F508" s="104"/>
      <c r="G508" s="104"/>
      <c r="H508" s="104"/>
    </row>
    <row r="509" spans="2:8">
      <c r="B509" s="104"/>
      <c r="C509" s="104"/>
      <c r="D509" s="104"/>
      <c r="E509" s="104"/>
      <c r="F509" s="104"/>
      <c r="G509" s="104"/>
      <c r="H509" s="104"/>
    </row>
    <row r="510" spans="2:8">
      <c r="B510" s="104"/>
      <c r="C510" s="104"/>
      <c r="D510" s="104"/>
      <c r="E510" s="104"/>
      <c r="F510" s="104"/>
      <c r="G510" s="104"/>
      <c r="H510" s="104"/>
    </row>
    <row r="511" spans="2:8">
      <c r="B511" s="104"/>
      <c r="C511" s="104"/>
      <c r="D511" s="104"/>
      <c r="E511" s="104"/>
      <c r="F511" s="104"/>
      <c r="G511" s="104"/>
      <c r="H511" s="104"/>
    </row>
  </sheetData>
  <mergeCells count="6">
    <mergeCell ref="D1:H3"/>
    <mergeCell ref="A4:C4"/>
    <mergeCell ref="D4:H4"/>
    <mergeCell ref="A5:C5"/>
    <mergeCell ref="D5:G5"/>
    <mergeCell ref="H5:H6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2" orientation="portrait" r:id="rId1"/>
  <headerFooter>
    <oddFooter>&amp;L&amp;"Calibri,Regular"&amp;12&amp;K184782&amp;F&amp;C&amp;"Calibri,Regular"&amp;12&amp;K184782&amp;A&amp;R&amp;"Calibri,Regular"&amp;12&amp;K184782&amp;P</oddFooter>
  </headerFooter>
  <ignoredErrors>
    <ignoredError sqref="B99 B87 B75 F65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>
    <pageSetUpPr fitToPage="1"/>
  </sheetPr>
  <dimension ref="A1:J511"/>
  <sheetViews>
    <sheetView showGridLines="0" workbookViewId="0">
      <pane ySplit="2415" topLeftCell="A199" activePane="bottomLeft"/>
      <selection activeCell="A172" sqref="A172"/>
      <selection pane="bottomLeft" activeCell="H212" sqref="H212"/>
    </sheetView>
  </sheetViews>
  <sheetFormatPr defaultRowHeight="12.75"/>
  <cols>
    <col min="1" max="2" width="13.5703125" style="67" customWidth="1"/>
    <col min="3" max="3" width="10.140625" style="67" customWidth="1"/>
    <col min="4" max="4" width="9.140625" style="67" customWidth="1"/>
    <col min="5" max="5" width="9.140625" style="67"/>
    <col min="6" max="6" width="13.5703125" style="67" bestFit="1" customWidth="1"/>
    <col min="7" max="7" width="12.85546875" style="67" bestFit="1" customWidth="1"/>
    <col min="8" max="8" width="15.7109375" style="67" customWidth="1"/>
    <col min="9" max="16384" width="9.140625" style="67"/>
  </cols>
  <sheetData>
    <row r="1" spans="1:10" ht="16.5" customHeight="1">
      <c r="B1" s="101"/>
      <c r="C1" s="101"/>
      <c r="D1" s="294" t="s">
        <v>251</v>
      </c>
      <c r="E1" s="294"/>
      <c r="F1" s="294"/>
      <c r="G1" s="294"/>
      <c r="H1" s="294"/>
    </row>
    <row r="2" spans="1:10" ht="17.25" customHeight="1">
      <c r="A2" s="101"/>
      <c r="B2" s="101"/>
      <c r="C2" s="101"/>
      <c r="D2" s="294"/>
      <c r="E2" s="294"/>
      <c r="F2" s="294"/>
      <c r="G2" s="294"/>
      <c r="H2" s="294"/>
    </row>
    <row r="3" spans="1:10" ht="21" customHeight="1" thickBot="1">
      <c r="A3" s="101"/>
      <c r="B3" s="101"/>
      <c r="C3" s="101"/>
      <c r="D3" s="306"/>
      <c r="E3" s="306"/>
      <c r="F3" s="306"/>
      <c r="G3" s="306"/>
      <c r="H3" s="306"/>
    </row>
    <row r="4" spans="1:10" s="62" customFormat="1" ht="19.5" thickBot="1">
      <c r="A4" s="307" t="s">
        <v>105</v>
      </c>
      <c r="B4" s="308"/>
      <c r="C4" s="309"/>
      <c r="D4" s="310" t="s">
        <v>61</v>
      </c>
      <c r="E4" s="311"/>
      <c r="F4" s="311"/>
      <c r="G4" s="311" t="s">
        <v>6</v>
      </c>
      <c r="H4" s="312"/>
    </row>
    <row r="5" spans="1:10" s="62" customFormat="1" ht="18" customHeight="1" thickBot="1">
      <c r="A5" s="313" t="s">
        <v>56</v>
      </c>
      <c r="B5" s="314"/>
      <c r="C5" s="315"/>
      <c r="D5" s="298" t="s">
        <v>57</v>
      </c>
      <c r="E5" s="299"/>
      <c r="F5" s="299"/>
      <c r="G5" s="300"/>
      <c r="H5" s="316" t="s">
        <v>58</v>
      </c>
    </row>
    <row r="6" spans="1:10" s="62" customFormat="1" ht="15.75" customHeight="1" thickBot="1">
      <c r="A6" s="126" t="s">
        <v>109</v>
      </c>
      <c r="B6" s="127" t="s">
        <v>111</v>
      </c>
      <c r="C6" s="127" t="s">
        <v>4</v>
      </c>
      <c r="D6" s="127" t="s">
        <v>14</v>
      </c>
      <c r="E6" s="127" t="s">
        <v>15</v>
      </c>
      <c r="F6" s="127" t="s">
        <v>16</v>
      </c>
      <c r="G6" s="127" t="s">
        <v>17</v>
      </c>
      <c r="H6" s="317"/>
    </row>
    <row r="7" spans="1:10" s="102" customFormat="1" ht="16.5" customHeight="1" thickBot="1">
      <c r="A7" s="143" t="s">
        <v>67</v>
      </c>
      <c r="B7" s="134"/>
      <c r="C7" s="134"/>
      <c r="D7" s="134"/>
      <c r="E7" s="134"/>
      <c r="F7" s="134"/>
      <c r="G7" s="134"/>
      <c r="H7" s="135"/>
    </row>
    <row r="8" spans="1:10" ht="15" hidden="1">
      <c r="A8" s="235" t="s">
        <v>113</v>
      </c>
      <c r="B8" s="236">
        <v>222476</v>
      </c>
      <c r="C8" s="219">
        <f>100*B8/B$8</f>
        <v>100</v>
      </c>
      <c r="D8" s="219"/>
      <c r="E8" s="219"/>
      <c r="F8" s="219"/>
      <c r="G8" s="220"/>
      <c r="H8" s="221">
        <f>+B$211/B8</f>
        <v>2.1797677052805695</v>
      </c>
    </row>
    <row r="9" spans="1:10" ht="15" hidden="1">
      <c r="A9" s="237" t="s">
        <v>114</v>
      </c>
      <c r="B9" s="190">
        <v>229800</v>
      </c>
      <c r="C9" s="165">
        <f t="shared" ref="C9:C106" si="0">100*B9/B$8</f>
        <v>103.29204048976069</v>
      </c>
      <c r="D9" s="165">
        <f t="shared" ref="D9:D26" si="1">100*(B9/B8-1)</f>
        <v>3.2920404897606836</v>
      </c>
      <c r="E9" s="165"/>
      <c r="F9" s="165"/>
      <c r="G9" s="225"/>
      <c r="H9" s="174">
        <f>+B$211/B9</f>
        <v>2.1102959094865099</v>
      </c>
    </row>
    <row r="10" spans="1:10" ht="15" hidden="1">
      <c r="A10" s="237" t="s">
        <v>115</v>
      </c>
      <c r="B10" s="190">
        <v>231200</v>
      </c>
      <c r="C10" s="165">
        <f t="shared" si="0"/>
        <v>103.92132185044679</v>
      </c>
      <c r="D10" s="165">
        <f t="shared" si="1"/>
        <v>0.60922541340295844</v>
      </c>
      <c r="E10" s="165"/>
      <c r="F10" s="165"/>
      <c r="G10" s="225"/>
      <c r="H10" s="174">
        <f>+B$211/B10</f>
        <v>2.0975173010380623</v>
      </c>
    </row>
    <row r="11" spans="1:10" ht="15" hidden="1">
      <c r="A11" s="237" t="s">
        <v>116</v>
      </c>
      <c r="B11" s="190">
        <v>235800</v>
      </c>
      <c r="C11" s="165">
        <f t="shared" si="0"/>
        <v>105.98896060698682</v>
      </c>
      <c r="D11" s="165">
        <f t="shared" si="1"/>
        <v>1.9896193771626214</v>
      </c>
      <c r="E11" s="165">
        <f t="shared" ref="E11:E16" si="2">100*(B11/B$10-1)</f>
        <v>1.9896193771626214</v>
      </c>
      <c r="F11" s="165"/>
      <c r="G11" s="225"/>
      <c r="H11" s="174">
        <f>+B$211/B11</f>
        <v>2.0565988125530112</v>
      </c>
    </row>
    <row r="12" spans="1:10" ht="15" hidden="1">
      <c r="A12" s="237" t="s">
        <v>117</v>
      </c>
      <c r="B12" s="190">
        <v>239700</v>
      </c>
      <c r="C12" s="165">
        <f t="shared" si="0"/>
        <v>107.74195868318381</v>
      </c>
      <c r="D12" s="165">
        <f t="shared" si="1"/>
        <v>1.653944020356235</v>
      </c>
      <c r="E12" s="165">
        <f t="shared" si="2"/>
        <v>3.6764705882353033</v>
      </c>
      <c r="F12" s="165"/>
      <c r="G12" s="225"/>
      <c r="H12" s="174">
        <f>+B$211/B12</f>
        <v>2.0231372549019606</v>
      </c>
    </row>
    <row r="13" spans="1:10" ht="15" hidden="1">
      <c r="A13" s="237" t="s">
        <v>118</v>
      </c>
      <c r="B13" s="190">
        <v>244820</v>
      </c>
      <c r="C13" s="165">
        <f t="shared" si="0"/>
        <v>110.0433305165501</v>
      </c>
      <c r="D13" s="165">
        <f t="shared" si="1"/>
        <v>2.1360033375052101</v>
      </c>
      <c r="E13" s="165">
        <f t="shared" si="2"/>
        <v>5.8910034602076111</v>
      </c>
      <c r="F13" s="165"/>
      <c r="G13" s="225"/>
      <c r="H13" s="174">
        <f>+B$211/B13</f>
        <v>1.9808267298423332</v>
      </c>
    </row>
    <row r="14" spans="1:10" ht="15" hidden="1">
      <c r="A14" s="237" t="s">
        <v>119</v>
      </c>
      <c r="B14" s="190">
        <v>244891.4</v>
      </c>
      <c r="C14" s="165">
        <f t="shared" si="0"/>
        <v>110.0754238659451</v>
      </c>
      <c r="D14" s="165">
        <f t="shared" si="1"/>
        <v>2.916428396373405E-2</v>
      </c>
      <c r="E14" s="165">
        <f t="shared" si="2"/>
        <v>5.9218858131487861</v>
      </c>
      <c r="F14" s="165"/>
      <c r="G14" s="225"/>
      <c r="H14" s="174">
        <f>+B$211/B14</f>
        <v>1.9802492043411897</v>
      </c>
    </row>
    <row r="15" spans="1:10" ht="15" hidden="1">
      <c r="A15" s="237" t="s">
        <v>120</v>
      </c>
      <c r="B15" s="190">
        <v>251000</v>
      </c>
      <c r="C15" s="165">
        <f t="shared" si="0"/>
        <v>112.82115823729301</v>
      </c>
      <c r="D15" s="165">
        <f t="shared" si="1"/>
        <v>2.4944118086629441</v>
      </c>
      <c r="E15" s="165">
        <f t="shared" si="2"/>
        <v>8.5640138408304534</v>
      </c>
      <c r="F15" s="165"/>
      <c r="G15" s="225"/>
      <c r="H15" s="174">
        <f>+B$211/B15</f>
        <v>1.9320557768924302</v>
      </c>
    </row>
    <row r="16" spans="1:10" ht="15" hidden="1">
      <c r="A16" s="237" t="s">
        <v>121</v>
      </c>
      <c r="B16" s="190">
        <v>257800</v>
      </c>
      <c r="C16" s="165">
        <f t="shared" si="0"/>
        <v>115.87766770348263</v>
      </c>
      <c r="D16" s="165">
        <f t="shared" si="1"/>
        <v>2.7091633466135523</v>
      </c>
      <c r="E16" s="165">
        <f t="shared" si="2"/>
        <v>11.505190311418678</v>
      </c>
      <c r="F16" s="165"/>
      <c r="G16" s="225"/>
      <c r="H16" s="174">
        <f>+B$211/B16</f>
        <v>1.8810938712179985</v>
      </c>
      <c r="J16" s="121"/>
    </row>
    <row r="17" spans="1:8" ht="15" hidden="1">
      <c r="A17" s="237" t="s">
        <v>122</v>
      </c>
      <c r="B17" s="190">
        <v>253060</v>
      </c>
      <c r="C17" s="165">
        <f t="shared" si="0"/>
        <v>113.74710081087399</v>
      </c>
      <c r="D17" s="165">
        <f t="shared" si="1"/>
        <v>-1.8386346004654719</v>
      </c>
      <c r="E17" s="165">
        <f t="shared" ref="E17:E22" si="3">100*(B17/B$10-1)</f>
        <v>9.45501730103806</v>
      </c>
      <c r="F17" s="165"/>
      <c r="G17" s="225"/>
      <c r="H17" s="174">
        <f>+B$211/B17</f>
        <v>1.9163281435232751</v>
      </c>
    </row>
    <row r="18" spans="1:8" ht="15" hidden="1">
      <c r="A18" s="237" t="s">
        <v>123</v>
      </c>
      <c r="B18" s="190">
        <v>255800</v>
      </c>
      <c r="C18" s="165">
        <f t="shared" si="0"/>
        <v>114.97869433107391</v>
      </c>
      <c r="D18" s="165">
        <f t="shared" si="1"/>
        <v>1.0827471745830985</v>
      </c>
      <c r="E18" s="165">
        <f t="shared" si="3"/>
        <v>10.640138408304489</v>
      </c>
      <c r="F18" s="226"/>
      <c r="G18" s="185"/>
      <c r="H18" s="174">
        <f>+B$211/B18</f>
        <v>1.8958014073494918</v>
      </c>
    </row>
    <row r="19" spans="1:8" ht="15" hidden="1">
      <c r="A19" s="237" t="s">
        <v>124</v>
      </c>
      <c r="B19" s="190">
        <v>265981.40000000002</v>
      </c>
      <c r="C19" s="165">
        <f t="shared" si="0"/>
        <v>119.55509807799494</v>
      </c>
      <c r="D19" s="165">
        <f t="shared" si="1"/>
        <v>3.9802189210320638</v>
      </c>
      <c r="E19" s="165">
        <f t="shared" si="3"/>
        <v>15.043858131487898</v>
      </c>
      <c r="F19" s="226"/>
      <c r="G19" s="185"/>
      <c r="H19" s="174">
        <f>+B$211/B19</f>
        <v>1.8232327523653908</v>
      </c>
    </row>
    <row r="20" spans="1:8" ht="15" hidden="1">
      <c r="A20" s="237" t="s">
        <v>125</v>
      </c>
      <c r="B20" s="190">
        <v>278056.40000000002</v>
      </c>
      <c r="C20" s="165">
        <f t="shared" si="0"/>
        <v>124.98264981391253</v>
      </c>
      <c r="D20" s="165">
        <f t="shared" si="1"/>
        <v>4.5397911282518244</v>
      </c>
      <c r="E20" s="165">
        <f t="shared" si="3"/>
        <v>20.266608996539802</v>
      </c>
      <c r="F20" s="226">
        <f>(100*(B20/B8-1))</f>
        <v>24.982649813912516</v>
      </c>
      <c r="G20" s="185"/>
      <c r="H20" s="174">
        <f>+B$211/B20</f>
        <v>1.7440562418271974</v>
      </c>
    </row>
    <row r="21" spans="1:8" ht="15" hidden="1">
      <c r="A21" s="237" t="s">
        <v>126</v>
      </c>
      <c r="B21" s="190">
        <v>278600</v>
      </c>
      <c r="C21" s="165">
        <f t="shared" si="0"/>
        <v>125.2269907765332</v>
      </c>
      <c r="D21" s="165">
        <f t="shared" si="1"/>
        <v>0.19549990577449883</v>
      </c>
      <c r="E21" s="165">
        <f t="shared" si="3"/>
        <v>20.501730103806224</v>
      </c>
      <c r="F21" s="226">
        <f t="shared" ref="F21:F32" si="4">(100*(B21/B9-1))</f>
        <v>21.235857267188862</v>
      </c>
      <c r="G21" s="185"/>
      <c r="H21" s="174">
        <f>+B$211/B21</f>
        <v>1.7406532663316583</v>
      </c>
    </row>
    <row r="22" spans="1:8" ht="15" hidden="1">
      <c r="A22" s="237" t="s">
        <v>127</v>
      </c>
      <c r="B22" s="190">
        <v>273800</v>
      </c>
      <c r="C22" s="165">
        <f t="shared" si="0"/>
        <v>123.06945468275229</v>
      </c>
      <c r="D22" s="165">
        <f t="shared" si="1"/>
        <v>-1.7229002153625217</v>
      </c>
      <c r="E22" s="165">
        <f t="shared" si="3"/>
        <v>18.425605536332192</v>
      </c>
      <c r="F22" s="226">
        <f t="shared" si="4"/>
        <v>18.425605536332192</v>
      </c>
      <c r="G22" s="185"/>
      <c r="H22" s="174">
        <f>+B$211/B22</f>
        <v>1.7711687363038715</v>
      </c>
    </row>
    <row r="23" spans="1:8" ht="15" hidden="1">
      <c r="A23" s="237" t="s">
        <v>128</v>
      </c>
      <c r="B23" s="190">
        <v>275800</v>
      </c>
      <c r="C23" s="165">
        <f t="shared" si="0"/>
        <v>123.96842805516101</v>
      </c>
      <c r="D23" s="165">
        <f t="shared" si="1"/>
        <v>0.73046018991964612</v>
      </c>
      <c r="E23" s="165">
        <f t="shared" ref="E23:E29" si="5">100*(B23/B$22-1)</f>
        <v>0.73046018991964612</v>
      </c>
      <c r="F23" s="226">
        <f t="shared" si="4"/>
        <v>16.96352841391009</v>
      </c>
      <c r="G23" s="185"/>
      <c r="H23" s="174">
        <f>+B$211/B23</f>
        <v>1.7583248730964467</v>
      </c>
    </row>
    <row r="24" spans="1:8" ht="15" hidden="1">
      <c r="A24" s="237" t="s">
        <v>129</v>
      </c>
      <c r="B24" s="190">
        <v>279033.71000000002</v>
      </c>
      <c r="C24" s="165">
        <f t="shared" si="0"/>
        <v>125.4219376472069</v>
      </c>
      <c r="D24" s="165">
        <f t="shared" si="1"/>
        <v>1.1724836838288732</v>
      </c>
      <c r="E24" s="165">
        <f t="shared" si="5"/>
        <v>1.9115084002921945</v>
      </c>
      <c r="F24" s="226">
        <f t="shared" si="4"/>
        <v>16.409557780559037</v>
      </c>
      <c r="G24" s="185"/>
      <c r="H24" s="174">
        <f>+B$211/B24</f>
        <v>1.7379477196500737</v>
      </c>
    </row>
    <row r="25" spans="1:8" ht="15" hidden="1">
      <c r="A25" s="237" t="s">
        <v>130</v>
      </c>
      <c r="B25" s="190">
        <v>282154.14</v>
      </c>
      <c r="C25" s="165">
        <f t="shared" si="0"/>
        <v>126.82452938743954</v>
      </c>
      <c r="D25" s="165">
        <f t="shared" si="1"/>
        <v>1.1182985740324947</v>
      </c>
      <c r="E25" s="165">
        <f t="shared" si="5"/>
        <v>3.0511833455076687</v>
      </c>
      <c r="F25" s="226">
        <f t="shared" si="4"/>
        <v>15.249628298341644</v>
      </c>
      <c r="G25" s="185"/>
      <c r="H25" s="174">
        <f>+B$211/B25</f>
        <v>1.7187272176832138</v>
      </c>
    </row>
    <row r="26" spans="1:8" ht="15" hidden="1">
      <c r="A26" s="237" t="s">
        <v>131</v>
      </c>
      <c r="B26" s="190">
        <v>280271.43</v>
      </c>
      <c r="C26" s="165">
        <f t="shared" si="0"/>
        <v>125.97827630845575</v>
      </c>
      <c r="D26" s="165">
        <f t="shared" si="1"/>
        <v>-0.66726293649280732</v>
      </c>
      <c r="E26" s="165">
        <f t="shared" si="5"/>
        <v>2.3635609934258506</v>
      </c>
      <c r="F26" s="226">
        <f t="shared" si="4"/>
        <v>14.447232528377896</v>
      </c>
      <c r="G26" s="185"/>
      <c r="H26" s="174">
        <f>+B$211/B26</f>
        <v>1.7302726860172655</v>
      </c>
    </row>
    <row r="27" spans="1:8" ht="15" hidden="1">
      <c r="A27" s="237" t="s">
        <v>132</v>
      </c>
      <c r="B27" s="190">
        <v>277433</v>
      </c>
      <c r="C27" s="165">
        <f t="shared" si="0"/>
        <v>124.70243981373272</v>
      </c>
      <c r="D27" s="165">
        <f t="shared" ref="D27:D32" si="6">100*(B27/B26-1)</f>
        <v>-1.0127432539235204</v>
      </c>
      <c r="E27" s="165">
        <f t="shared" si="5"/>
        <v>1.3268809349890498</v>
      </c>
      <c r="F27" s="226">
        <f t="shared" si="4"/>
        <v>10.531075697211145</v>
      </c>
      <c r="G27" s="185"/>
      <c r="H27" s="174">
        <f>+B$211/B27</f>
        <v>1.7479751868018585</v>
      </c>
    </row>
    <row r="28" spans="1:8" ht="15" hidden="1">
      <c r="A28" s="237" t="s">
        <v>133</v>
      </c>
      <c r="B28" s="190">
        <v>276871.43</v>
      </c>
      <c r="C28" s="165">
        <f t="shared" si="0"/>
        <v>124.45002157536094</v>
      </c>
      <c r="D28" s="165">
        <f t="shared" si="6"/>
        <v>-0.20241643928444741</v>
      </c>
      <c r="E28" s="165">
        <f t="shared" si="5"/>
        <v>1.1217786705624455</v>
      </c>
      <c r="F28" s="226">
        <f t="shared" si="4"/>
        <v>7.3977618308766369</v>
      </c>
      <c r="G28" s="185"/>
      <c r="H28" s="174">
        <f>+B$211/B28</f>
        <v>1.7515205523372348</v>
      </c>
    </row>
    <row r="29" spans="1:8" ht="15" hidden="1">
      <c r="A29" s="237" t="s">
        <v>134</v>
      </c>
      <c r="B29" s="190">
        <v>278942.86</v>
      </c>
      <c r="C29" s="165">
        <f t="shared" si="0"/>
        <v>125.38110178176522</v>
      </c>
      <c r="D29" s="165">
        <f t="shared" si="6"/>
        <v>0.74815592204655612</v>
      </c>
      <c r="E29" s="165">
        <f t="shared" si="5"/>
        <v>1.8783272461650791</v>
      </c>
      <c r="F29" s="226">
        <f t="shared" si="4"/>
        <v>10.227953844937954</v>
      </c>
      <c r="G29" s="185"/>
      <c r="H29" s="174">
        <f>+B$211/B29</f>
        <v>1.7385137586959567</v>
      </c>
    </row>
    <row r="30" spans="1:8" ht="15" hidden="1">
      <c r="A30" s="237" t="s">
        <v>135</v>
      </c>
      <c r="B30" s="190">
        <v>264300</v>
      </c>
      <c r="C30" s="165">
        <f t="shared" si="0"/>
        <v>118.79933116381093</v>
      </c>
      <c r="D30" s="165">
        <f t="shared" si="6"/>
        <v>-5.2494120121948988</v>
      </c>
      <c r="E30" s="165">
        <f>100*(B30/B$22-1)</f>
        <v>-3.4696859021183357</v>
      </c>
      <c r="F30" s="226">
        <f t="shared" si="4"/>
        <v>3.3229085222830301</v>
      </c>
      <c r="G30" s="185"/>
      <c r="H30" s="174">
        <f>+B$211/B30</f>
        <v>1.8348316307226635</v>
      </c>
    </row>
    <row r="31" spans="1:8" ht="15" hidden="1">
      <c r="A31" s="237" t="s">
        <v>136</v>
      </c>
      <c r="B31" s="190">
        <v>255200</v>
      </c>
      <c r="C31" s="165">
        <f t="shared" si="0"/>
        <v>114.7090023193513</v>
      </c>
      <c r="D31" s="165">
        <f t="shared" si="6"/>
        <v>-3.4430571320469117</v>
      </c>
      <c r="E31" s="165">
        <f>100*(B31/B$22-1)</f>
        <v>-6.793279766252736</v>
      </c>
      <c r="F31" s="226">
        <f t="shared" si="4"/>
        <v>-4.0534413308599859</v>
      </c>
      <c r="G31" s="185"/>
      <c r="H31" s="174">
        <f>+B$211/B31</f>
        <v>1.9002586206896552</v>
      </c>
    </row>
    <row r="32" spans="1:8" ht="15" hidden="1">
      <c r="A32" s="237" t="s">
        <v>137</v>
      </c>
      <c r="B32" s="190">
        <v>262200</v>
      </c>
      <c r="C32" s="165">
        <f t="shared" si="0"/>
        <v>117.85540912278178</v>
      </c>
      <c r="D32" s="165">
        <f t="shared" si="6"/>
        <v>2.7429467084639558</v>
      </c>
      <c r="E32" s="165">
        <f>100*(B32/B$22-1)</f>
        <v>-4.2366691015339626</v>
      </c>
      <c r="F32" s="226">
        <f t="shared" si="4"/>
        <v>-5.7025840800643435</v>
      </c>
      <c r="G32" s="185">
        <f t="shared" ref="G32:G37" si="7">100*(B32/B8-1)</f>
        <v>17.855409122781786</v>
      </c>
      <c r="H32" s="174">
        <f>+B$211/B32</f>
        <v>1.8495270785659801</v>
      </c>
    </row>
    <row r="33" spans="1:8" ht="15" hidden="1">
      <c r="A33" s="237" t="s">
        <v>138</v>
      </c>
      <c r="B33" s="190">
        <v>274625</v>
      </c>
      <c r="C33" s="165">
        <f t="shared" si="0"/>
        <v>123.44028119887089</v>
      </c>
      <c r="D33" s="165">
        <f t="shared" ref="D33:D38" si="8">100*(B33/B32-1)</f>
        <v>4.7387490465293558</v>
      </c>
      <c r="E33" s="165">
        <f>100*(B33/B$22-1)</f>
        <v>0.30131482834185874</v>
      </c>
      <c r="F33" s="226">
        <f t="shared" ref="F33:F38" si="9">(100*(B33/B21-1))</f>
        <v>-1.4267767408470911</v>
      </c>
      <c r="G33" s="185">
        <f t="shared" si="7"/>
        <v>19.506092254134021</v>
      </c>
      <c r="H33" s="174">
        <f>+B$211/B33</f>
        <v>1.7658479745106963</v>
      </c>
    </row>
    <row r="34" spans="1:8" ht="15" hidden="1">
      <c r="A34" s="237" t="s">
        <v>139</v>
      </c>
      <c r="B34" s="190">
        <v>275714.28999999998</v>
      </c>
      <c r="C34" s="165">
        <f t="shared" si="0"/>
        <v>123.92990255128642</v>
      </c>
      <c r="D34" s="165">
        <f t="shared" si="8"/>
        <v>0.39664633591260934</v>
      </c>
      <c r="E34" s="165">
        <f>100*(B34/B$22-1)</f>
        <v>0.69915631848063153</v>
      </c>
      <c r="F34" s="226">
        <f t="shared" si="9"/>
        <v>0.69915631848063153</v>
      </c>
      <c r="G34" s="185">
        <f t="shared" si="7"/>
        <v>19.253585640138393</v>
      </c>
      <c r="H34" s="174">
        <f>+B$211/B34</f>
        <v>1.7588714752507026</v>
      </c>
    </row>
    <row r="35" spans="1:8" ht="15" hidden="1">
      <c r="A35" s="237" t="s">
        <v>140</v>
      </c>
      <c r="B35" s="190">
        <v>275600</v>
      </c>
      <c r="C35" s="165">
        <f t="shared" si="0"/>
        <v>123.87853071792013</v>
      </c>
      <c r="D35" s="165">
        <f t="shared" si="8"/>
        <v>-4.1452330961877504E-2</v>
      </c>
      <c r="E35" s="165">
        <f t="shared" ref="E35:E40" si="10">100*(B35/B$34-1)</f>
        <v>-4.1452330961877504E-2</v>
      </c>
      <c r="F35" s="226">
        <f t="shared" si="9"/>
        <v>-7.2516316171133965E-2</v>
      </c>
      <c r="G35" s="185">
        <f t="shared" si="7"/>
        <v>16.878710771840531</v>
      </c>
      <c r="H35" s="174">
        <f>+B$211/B35</f>
        <v>1.7596008708272859</v>
      </c>
    </row>
    <row r="36" spans="1:8" ht="15" hidden="1">
      <c r="A36" s="237" t="s">
        <v>141</v>
      </c>
      <c r="B36" s="190">
        <v>275000</v>
      </c>
      <c r="C36" s="165">
        <f t="shared" si="0"/>
        <v>123.60883870619752</v>
      </c>
      <c r="D36" s="165">
        <f t="shared" si="8"/>
        <v>-0.21770682148040121</v>
      </c>
      <c r="E36" s="165">
        <f t="shared" si="10"/>
        <v>-0.25906890789011428</v>
      </c>
      <c r="F36" s="226">
        <f t="shared" si="9"/>
        <v>-1.4455995298919389</v>
      </c>
      <c r="G36" s="185">
        <f t="shared" si="7"/>
        <v>14.72674176053399</v>
      </c>
      <c r="H36" s="174">
        <f>+B$211/B36</f>
        <v>1.7634399999999999</v>
      </c>
    </row>
    <row r="37" spans="1:8" ht="15" hidden="1">
      <c r="A37" s="237" t="s">
        <v>142</v>
      </c>
      <c r="B37" s="190">
        <v>272714.28999999998</v>
      </c>
      <c r="C37" s="165">
        <f t="shared" si="0"/>
        <v>122.58144249267335</v>
      </c>
      <c r="D37" s="165">
        <f t="shared" si="8"/>
        <v>-0.83116727272728452</v>
      </c>
      <c r="E37" s="165">
        <f t="shared" si="10"/>
        <v>-1.088082884641195</v>
      </c>
      <c r="F37" s="226">
        <f t="shared" si="9"/>
        <v>-3.3456358286998888</v>
      </c>
      <c r="G37" s="185">
        <f t="shared" si="7"/>
        <v>11.393795441548882</v>
      </c>
      <c r="H37" s="174">
        <f>+B$211/B37</f>
        <v>1.7782199825319018</v>
      </c>
    </row>
    <row r="38" spans="1:8" ht="15" hidden="1">
      <c r="A38" s="237" t="s">
        <v>143</v>
      </c>
      <c r="B38" s="190">
        <v>269833.33</v>
      </c>
      <c r="C38" s="165">
        <f t="shared" si="0"/>
        <v>121.28648932918607</v>
      </c>
      <c r="D38" s="165">
        <f t="shared" si="8"/>
        <v>-1.0564022882702528</v>
      </c>
      <c r="E38" s="165">
        <f t="shared" si="10"/>
        <v>-2.1329906404198185</v>
      </c>
      <c r="F38" s="226">
        <f t="shared" si="9"/>
        <v>-3.7242825642271105</v>
      </c>
      <c r="G38" s="185">
        <f t="shared" ref="G38:G43" si="11">100*(B38/B14-1)</f>
        <v>10.184894202083061</v>
      </c>
      <c r="H38" s="174">
        <f>+B$211/B38</f>
        <v>1.7972057047215033</v>
      </c>
    </row>
    <row r="39" spans="1:8" ht="15" hidden="1">
      <c r="A39" s="237" t="s">
        <v>144</v>
      </c>
      <c r="B39" s="190">
        <v>266025</v>
      </c>
      <c r="C39" s="165">
        <f t="shared" si="0"/>
        <v>119.57469569751343</v>
      </c>
      <c r="D39" s="165">
        <f t="shared" ref="D39:D44" si="12">100*(B39/B38-1)</f>
        <v>-1.411363822252798</v>
      </c>
      <c r="E39" s="165">
        <f t="shared" si="10"/>
        <v>-3.5142502044417046</v>
      </c>
      <c r="F39" s="226">
        <f t="shared" ref="F39:F44" si="13">(100*(B39/B27-1))</f>
        <v>-4.111983794285468</v>
      </c>
      <c r="G39" s="185">
        <f t="shared" si="11"/>
        <v>5.9860557768924405</v>
      </c>
      <c r="H39" s="174">
        <f>+B$211/B39</f>
        <v>1.8229339347805658</v>
      </c>
    </row>
    <row r="40" spans="1:8" ht="15" hidden="1">
      <c r="A40" s="237" t="s">
        <v>145</v>
      </c>
      <c r="B40" s="190">
        <v>264600</v>
      </c>
      <c r="C40" s="165">
        <f t="shared" si="0"/>
        <v>118.93417716967224</v>
      </c>
      <c r="D40" s="165">
        <f t="shared" si="12"/>
        <v>-0.53566394135889928</v>
      </c>
      <c r="E40" s="165">
        <f t="shared" si="10"/>
        <v>-4.0310895746462734</v>
      </c>
      <c r="F40" s="226">
        <f t="shared" si="13"/>
        <v>-4.4321763354203796</v>
      </c>
      <c r="G40" s="185">
        <f t="shared" si="11"/>
        <v>2.6377036462373882</v>
      </c>
      <c r="H40" s="174">
        <f>+B$211/B40</f>
        <v>1.8327513227513228</v>
      </c>
    </row>
    <row r="41" spans="1:8" ht="15" hidden="1">
      <c r="A41" s="237" t="s">
        <v>146</v>
      </c>
      <c r="B41" s="190">
        <v>264000</v>
      </c>
      <c r="C41" s="165">
        <f t="shared" si="0"/>
        <v>118.66448515794963</v>
      </c>
      <c r="D41" s="165">
        <f t="shared" si="12"/>
        <v>-0.22675736961451642</v>
      </c>
      <c r="E41" s="165">
        <f t="shared" ref="E41:E46" si="14">100*(B41/B$34-1)</f>
        <v>-4.2487061515745106</v>
      </c>
      <c r="F41" s="226">
        <f t="shared" si="13"/>
        <v>-5.3569609202400725</v>
      </c>
      <c r="G41" s="185">
        <f t="shared" si="11"/>
        <v>4.3230854342843683</v>
      </c>
      <c r="H41" s="174">
        <f>+B$211/B41</f>
        <v>1.8369166666666668</v>
      </c>
    </row>
    <row r="42" spans="1:8" ht="15" hidden="1">
      <c r="A42" s="237" t="s">
        <v>147</v>
      </c>
      <c r="B42" s="190">
        <v>263400</v>
      </c>
      <c r="C42" s="165">
        <f t="shared" si="0"/>
        <v>118.394793146227</v>
      </c>
      <c r="D42" s="165">
        <f t="shared" si="12"/>
        <v>-0.22727272727273151</v>
      </c>
      <c r="E42" s="165">
        <f t="shared" si="14"/>
        <v>-4.4663227285027478</v>
      </c>
      <c r="F42" s="226">
        <f t="shared" si="13"/>
        <v>-0.34052213393870323</v>
      </c>
      <c r="G42" s="185">
        <f t="shared" si="11"/>
        <v>2.9710711493354136</v>
      </c>
      <c r="H42" s="174">
        <f>+B$211/B42</f>
        <v>1.8411009870918755</v>
      </c>
    </row>
    <row r="43" spans="1:8" ht="15" hidden="1">
      <c r="A43" s="237" t="s">
        <v>148</v>
      </c>
      <c r="B43" s="190">
        <v>271333.33</v>
      </c>
      <c r="C43" s="165">
        <f t="shared" si="0"/>
        <v>121.9607193584926</v>
      </c>
      <c r="D43" s="165">
        <f t="shared" si="12"/>
        <v>3.0118944570994843</v>
      </c>
      <c r="E43" s="165">
        <f t="shared" si="14"/>
        <v>-1.588949198099221</v>
      </c>
      <c r="F43" s="226">
        <f t="shared" si="13"/>
        <v>6.3218377742946696</v>
      </c>
      <c r="G43" s="185">
        <f t="shared" si="11"/>
        <v>2.0121444582215098</v>
      </c>
      <c r="H43" s="174">
        <f>+B$211/B43</f>
        <v>1.7872702922269077</v>
      </c>
    </row>
    <row r="44" spans="1:8" ht="15" hidden="1">
      <c r="A44" s="237" t="s">
        <v>149</v>
      </c>
      <c r="B44" s="190">
        <v>272000</v>
      </c>
      <c r="C44" s="165">
        <f t="shared" si="0"/>
        <v>122.26037864758446</v>
      </c>
      <c r="D44" s="165">
        <f t="shared" si="12"/>
        <v>0.24570147721991731</v>
      </c>
      <c r="E44" s="165">
        <f t="shared" si="14"/>
        <v>-1.3471517925313092</v>
      </c>
      <c r="F44" s="226">
        <f t="shared" si="13"/>
        <v>3.7376048817696406</v>
      </c>
      <c r="G44" s="185">
        <f t="shared" ref="G44:G49" si="15">100*(B44/B20-1)</f>
        <v>-2.1781192592582044</v>
      </c>
      <c r="H44" s="174">
        <f>+B$211/B44</f>
        <v>1.782889705882353</v>
      </c>
    </row>
    <row r="45" spans="1:8" ht="15" hidden="1">
      <c r="A45" s="237" t="s">
        <v>150</v>
      </c>
      <c r="B45" s="190">
        <v>270900</v>
      </c>
      <c r="C45" s="165">
        <f t="shared" si="0"/>
        <v>121.76594329275967</v>
      </c>
      <c r="D45" s="165">
        <f t="shared" ref="D45:D51" si="16">100*(B45/B44-1)</f>
        <v>-0.40441176470588092</v>
      </c>
      <c r="E45" s="165">
        <f t="shared" si="14"/>
        <v>-1.7461155168997489</v>
      </c>
      <c r="F45" s="226">
        <f t="shared" ref="F45:F51" si="17">(100*(B45/B33-1))</f>
        <v>-1.3563950842057304</v>
      </c>
      <c r="G45" s="185">
        <f t="shared" si="15"/>
        <v>-2.7638190954773822</v>
      </c>
      <c r="H45" s="174">
        <f>+B$211/B45</f>
        <v>1.7901291989664083</v>
      </c>
    </row>
    <row r="46" spans="1:8" ht="15" hidden="1">
      <c r="A46" s="237" t="s">
        <v>151</v>
      </c>
      <c r="B46" s="190">
        <v>270666.67</v>
      </c>
      <c r="C46" s="165">
        <f t="shared" si="0"/>
        <v>121.6610645642676</v>
      </c>
      <c r="D46" s="165">
        <f t="shared" si="16"/>
        <v>-8.6131413805834445E-2</v>
      </c>
      <c r="E46" s="165">
        <f t="shared" si="14"/>
        <v>-1.8307429767241978</v>
      </c>
      <c r="F46" s="226">
        <f t="shared" si="17"/>
        <v>-1.8307429767241978</v>
      </c>
      <c r="G46" s="185">
        <f t="shared" si="15"/>
        <v>-1.144386413440468</v>
      </c>
      <c r="H46" s="174">
        <f>+B$211/B46</f>
        <v>1.7916723917281727</v>
      </c>
    </row>
    <row r="47" spans="1:8" ht="15" hidden="1">
      <c r="A47" s="237" t="s">
        <v>152</v>
      </c>
      <c r="B47" s="190">
        <v>273600</v>
      </c>
      <c r="C47" s="165">
        <f t="shared" si="0"/>
        <v>122.97955734551142</v>
      </c>
      <c r="D47" s="165">
        <f t="shared" si="16"/>
        <v>1.0837425974908665</v>
      </c>
      <c r="E47" s="165">
        <f t="shared" ref="E47:E52" si="18">100*(B47/B$46-1)</f>
        <v>1.0837425974908665</v>
      </c>
      <c r="F47" s="226">
        <f t="shared" si="17"/>
        <v>-0.72568940493469292</v>
      </c>
      <c r="G47" s="185">
        <f t="shared" si="15"/>
        <v>-0.79767947788251803</v>
      </c>
      <c r="H47" s="174">
        <f>+B$211/B47</f>
        <v>1.7724634502923977</v>
      </c>
    </row>
    <row r="48" spans="1:8" ht="15" hidden="1">
      <c r="A48" s="237" t="s">
        <v>153</v>
      </c>
      <c r="B48" s="190">
        <v>273166.67</v>
      </c>
      <c r="C48" s="165">
        <f t="shared" si="0"/>
        <v>122.7847812797785</v>
      </c>
      <c r="D48" s="165">
        <f t="shared" si="16"/>
        <v>-0.15838084795322116</v>
      </c>
      <c r="E48" s="165">
        <f t="shared" si="18"/>
        <v>0.92364530882209639</v>
      </c>
      <c r="F48" s="226">
        <f t="shared" si="17"/>
        <v>-0.66666545454545645</v>
      </c>
      <c r="G48" s="185">
        <f t="shared" si="15"/>
        <v>-2.1026276717605374</v>
      </c>
      <c r="H48" s="174">
        <f>+B$211/B48</f>
        <v>1.7752751461223291</v>
      </c>
    </row>
    <row r="49" spans="1:9" ht="15" hidden="1">
      <c r="A49" s="237" t="s">
        <v>154</v>
      </c>
      <c r="B49" s="190">
        <v>280321.43</v>
      </c>
      <c r="C49" s="165">
        <f t="shared" si="0"/>
        <v>126.00075064276596</v>
      </c>
      <c r="D49" s="183">
        <f t="shared" si="16"/>
        <v>2.6191921583991196</v>
      </c>
      <c r="E49" s="183">
        <f t="shared" si="18"/>
        <v>3.5670295127213203</v>
      </c>
      <c r="F49" s="184">
        <f t="shared" si="17"/>
        <v>2.7894174522354653</v>
      </c>
      <c r="G49" s="185">
        <f t="shared" si="15"/>
        <v>-0.6495421261584311</v>
      </c>
      <c r="H49" s="174">
        <f>+B$211/B49</f>
        <v>1.7299640630400608</v>
      </c>
    </row>
    <row r="50" spans="1:9" ht="15" hidden="1">
      <c r="A50" s="237" t="s">
        <v>155</v>
      </c>
      <c r="B50" s="190">
        <v>283714.28999999998</v>
      </c>
      <c r="C50" s="165">
        <f t="shared" si="0"/>
        <v>127.52579604092125</v>
      </c>
      <c r="D50" s="183">
        <f t="shared" si="16"/>
        <v>1.2103462799829323</v>
      </c>
      <c r="E50" s="183">
        <f t="shared" si="18"/>
        <v>4.8205492017173723</v>
      </c>
      <c r="F50" s="184">
        <f t="shared" si="17"/>
        <v>5.1442718362479489</v>
      </c>
      <c r="G50" s="185">
        <f t="shared" ref="G50:G77" si="19">100*(B50/B26-1)</f>
        <v>1.2284020529670148</v>
      </c>
      <c r="H50" s="174">
        <f>+B$211/B50</f>
        <v>1.7092759057007669</v>
      </c>
    </row>
    <row r="51" spans="1:9" ht="15" hidden="1">
      <c r="A51" s="237" t="s">
        <v>156</v>
      </c>
      <c r="B51" s="190">
        <v>282500</v>
      </c>
      <c r="C51" s="165">
        <f t="shared" si="0"/>
        <v>126.97998885273019</v>
      </c>
      <c r="D51" s="183">
        <f t="shared" si="16"/>
        <v>-0.42799747591141246</v>
      </c>
      <c r="E51" s="183">
        <f t="shared" si="18"/>
        <v>4.3719198968975359</v>
      </c>
      <c r="F51" s="184">
        <f t="shared" si="17"/>
        <v>6.193026971149318</v>
      </c>
      <c r="G51" s="185">
        <f t="shared" si="19"/>
        <v>1.8263869114344633</v>
      </c>
      <c r="H51" s="174">
        <f>+B$211/B51</f>
        <v>1.7166230088495575</v>
      </c>
    </row>
    <row r="52" spans="1:9" ht="15" hidden="1">
      <c r="A52" s="237" t="s">
        <v>157</v>
      </c>
      <c r="B52" s="190">
        <v>285000</v>
      </c>
      <c r="C52" s="165">
        <f t="shared" si="0"/>
        <v>128.10370556824108</v>
      </c>
      <c r="D52" s="183">
        <f>100*(B52/B51-1)</f>
        <v>0.88495575221239076</v>
      </c>
      <c r="E52" s="183">
        <f t="shared" si="18"/>
        <v>5.2955652057196545</v>
      </c>
      <c r="F52" s="184">
        <f t="shared" ref="F52:F64" si="20">(100*(B52/B40-1))</f>
        <v>7.7097505668934252</v>
      </c>
      <c r="G52" s="185">
        <f t="shared" si="19"/>
        <v>2.9358644913272558</v>
      </c>
      <c r="H52" s="174">
        <f>+B$211/B52</f>
        <v>1.7015649122807017</v>
      </c>
    </row>
    <row r="53" spans="1:9" ht="15" hidden="1">
      <c r="A53" s="237" t="s">
        <v>158</v>
      </c>
      <c r="B53" s="190">
        <v>290080.71428571426</v>
      </c>
      <c r="C53" s="165">
        <f t="shared" si="0"/>
        <v>130.38741899607788</v>
      </c>
      <c r="D53" s="183">
        <f>100*(B53/B52-1)</f>
        <v>1.7827067669172747</v>
      </c>
      <c r="E53" s="183">
        <f t="shared" ref="E53:E58" si="21">100*(B53/B$46-1)</f>
        <v>7.1726763719058173</v>
      </c>
      <c r="F53" s="184">
        <f t="shared" si="20"/>
        <v>9.8790584415584313</v>
      </c>
      <c r="G53" s="185">
        <f t="shared" si="19"/>
        <v>3.9928802213163861</v>
      </c>
      <c r="H53" s="174">
        <f>+B$211/B53</f>
        <v>1.671762292760882</v>
      </c>
      <c r="I53" s="122" t="s">
        <v>21</v>
      </c>
    </row>
    <row r="54" spans="1:9" ht="15" hidden="1">
      <c r="A54" s="237" t="s">
        <v>159</v>
      </c>
      <c r="B54" s="190">
        <v>292093</v>
      </c>
      <c r="C54" s="165">
        <f t="shared" si="0"/>
        <v>131.29191463348855</v>
      </c>
      <c r="D54" s="183">
        <f t="shared" ref="D54:D59" si="22">100*(B54/B53-1)</f>
        <v>0.69369855188088358</v>
      </c>
      <c r="E54" s="183">
        <f t="shared" si="21"/>
        <v>7.9161316759097211</v>
      </c>
      <c r="F54" s="184">
        <f t="shared" si="20"/>
        <v>10.893318147304477</v>
      </c>
      <c r="G54" s="185">
        <f t="shared" si="19"/>
        <v>10.515701853953829</v>
      </c>
      <c r="H54" s="174">
        <f>+B$211/B54</f>
        <v>1.6602451958793947</v>
      </c>
    </row>
    <row r="55" spans="1:9" ht="15" hidden="1">
      <c r="A55" s="237" t="s">
        <v>160</v>
      </c>
      <c r="B55" s="190">
        <v>292493</v>
      </c>
      <c r="C55" s="165">
        <f t="shared" si="0"/>
        <v>131.47170930797029</v>
      </c>
      <c r="D55" s="183">
        <f t="shared" si="22"/>
        <v>0.13694268606232463</v>
      </c>
      <c r="E55" s="183">
        <f t="shared" si="21"/>
        <v>8.0639149253212583</v>
      </c>
      <c r="F55" s="184">
        <f t="shared" si="20"/>
        <v>7.7984042727076597</v>
      </c>
      <c r="G55" s="185">
        <f t="shared" si="19"/>
        <v>14.613244514106594</v>
      </c>
      <c r="H55" s="174">
        <f>+B$211/B55</f>
        <v>1.6579747207625481</v>
      </c>
    </row>
    <row r="56" spans="1:9" ht="15.75" hidden="1" customHeight="1">
      <c r="A56" s="237" t="s">
        <v>161</v>
      </c>
      <c r="B56" s="190">
        <v>292733</v>
      </c>
      <c r="C56" s="165">
        <f t="shared" si="0"/>
        <v>131.57958611265934</v>
      </c>
      <c r="D56" s="183">
        <f t="shared" si="22"/>
        <v>8.2053245718705092E-2</v>
      </c>
      <c r="E56" s="183">
        <f t="shared" si="21"/>
        <v>8.1525848749681717</v>
      </c>
      <c r="F56" s="184">
        <f t="shared" si="20"/>
        <v>7.6224264705882394</v>
      </c>
      <c r="G56" s="185">
        <f t="shared" si="19"/>
        <v>11.644927536231876</v>
      </c>
      <c r="H56" s="174">
        <f>+B$211/B56</f>
        <v>1.656615414046247</v>
      </c>
    </row>
    <row r="57" spans="1:9" ht="15.75" hidden="1" customHeight="1">
      <c r="A57" s="237" t="s">
        <v>162</v>
      </c>
      <c r="B57" s="190">
        <v>293383</v>
      </c>
      <c r="C57" s="165">
        <f t="shared" si="0"/>
        <v>131.87175245869219</v>
      </c>
      <c r="D57" s="183">
        <f t="shared" si="22"/>
        <v>0.22204534507554996</v>
      </c>
      <c r="E57" s="183">
        <f t="shared" si="21"/>
        <v>8.3927326552619252</v>
      </c>
      <c r="F57" s="184">
        <f t="shared" si="20"/>
        <v>8.2993724621631682</v>
      </c>
      <c r="G57" s="185">
        <f t="shared" si="19"/>
        <v>6.8304050978607256</v>
      </c>
      <c r="H57" s="174">
        <f>+B$211/B57</f>
        <v>1.6529451263365635</v>
      </c>
    </row>
    <row r="58" spans="1:9" ht="15.75" hidden="1" customHeight="1">
      <c r="A58" s="237" t="s">
        <v>163</v>
      </c>
      <c r="B58" s="190">
        <v>293870</v>
      </c>
      <c r="C58" s="165">
        <f t="shared" si="0"/>
        <v>132.09065247487371</v>
      </c>
      <c r="D58" s="183">
        <f t="shared" si="22"/>
        <v>0.16599462136523968</v>
      </c>
      <c r="E58" s="183">
        <f t="shared" si="21"/>
        <v>8.5726587614204597</v>
      </c>
      <c r="F58" s="184">
        <f t="shared" si="20"/>
        <v>8.5726587614204597</v>
      </c>
      <c r="G58" s="185">
        <f t="shared" si="19"/>
        <v>6.5849724365030227</v>
      </c>
      <c r="H58" s="174">
        <f>+B$211/B58</f>
        <v>1.6502058733453568</v>
      </c>
    </row>
    <row r="59" spans="1:9" ht="15.75" hidden="1" customHeight="1">
      <c r="A59" s="237" t="s">
        <v>164</v>
      </c>
      <c r="B59" s="190">
        <f>[105]VEÍCULO!$D$20</f>
        <v>294400</v>
      </c>
      <c r="C59" s="165">
        <f t="shared" si="0"/>
        <v>132.32888041856199</v>
      </c>
      <c r="D59" s="183">
        <f t="shared" si="22"/>
        <v>0.18035185626297245</v>
      </c>
      <c r="E59" s="183">
        <f t="shared" ref="E59:E64" si="23">100*(B59/B$58-1)</f>
        <v>0.18035185626297245</v>
      </c>
      <c r="F59" s="184">
        <f t="shared" si="20"/>
        <v>7.6023391812865437</v>
      </c>
      <c r="G59" s="185">
        <f t="shared" si="19"/>
        <v>6.8214804063860601</v>
      </c>
      <c r="H59" s="174">
        <f>+B$211/B59</f>
        <v>1.647235054347826</v>
      </c>
    </row>
    <row r="60" spans="1:9" ht="15.75" hidden="1" customHeight="1">
      <c r="A60" s="237" t="s">
        <v>165</v>
      </c>
      <c r="B60" s="190">
        <f>[106]VEÍCULO!$D$20</f>
        <v>295280</v>
      </c>
      <c r="C60" s="165">
        <f t="shared" si="0"/>
        <v>132.72442870242185</v>
      </c>
      <c r="D60" s="183">
        <f t="shared" ref="D60:D65" si="24">100*(B60/B59-1)</f>
        <v>0.29891304347826608</v>
      </c>
      <c r="E60" s="183">
        <f t="shared" si="23"/>
        <v>0.4798039949637678</v>
      </c>
      <c r="F60" s="184">
        <f t="shared" si="20"/>
        <v>8.095178668759262</v>
      </c>
      <c r="G60" s="185">
        <f t="shared" si="19"/>
        <v>7.3745454545454558</v>
      </c>
      <c r="H60" s="174">
        <f>+B$211/B60</f>
        <v>1.6423259279328095</v>
      </c>
      <c r="I60" s="122" t="s">
        <v>22</v>
      </c>
    </row>
    <row r="61" spans="1:9" ht="15.75" hidden="1" customHeight="1">
      <c r="A61" s="237" t="s">
        <v>166</v>
      </c>
      <c r="B61" s="190">
        <f>[107]VEÍCULO!$D$20</f>
        <v>295680</v>
      </c>
      <c r="C61" s="165">
        <f t="shared" si="0"/>
        <v>132.90422337690359</v>
      </c>
      <c r="D61" s="183">
        <f t="shared" si="24"/>
        <v>0.13546464372797828</v>
      </c>
      <c r="E61" s="183">
        <f t="shared" si="23"/>
        <v>0.6159186034641273</v>
      </c>
      <c r="F61" s="184">
        <f t="shared" si="20"/>
        <v>5.4789139738620873</v>
      </c>
      <c r="G61" s="185">
        <f t="shared" si="19"/>
        <v>8.4211612086774181</v>
      </c>
      <c r="H61" s="174">
        <f>+B$211/B61</f>
        <v>1.6401041666666667</v>
      </c>
    </row>
    <row r="62" spans="1:9" ht="15.75" hidden="1" customHeight="1">
      <c r="A62" s="237" t="s">
        <v>167</v>
      </c>
      <c r="B62" s="190">
        <f>[108]VEÍCULO!$D$20</f>
        <v>296090</v>
      </c>
      <c r="C62" s="165">
        <f t="shared" si="0"/>
        <v>133.08851291824737</v>
      </c>
      <c r="D62" s="183">
        <f t="shared" si="24"/>
        <v>0.13866341991342068</v>
      </c>
      <c r="E62" s="183">
        <f t="shared" si="23"/>
        <v>0.75543607717698524</v>
      </c>
      <c r="F62" s="184">
        <f t="shared" si="20"/>
        <v>4.362032663212001</v>
      </c>
      <c r="G62" s="185">
        <f t="shared" si="19"/>
        <v>9.7306993172414877</v>
      </c>
      <c r="H62" s="174">
        <f>+B$211/B62</f>
        <v>1.6378330912898105</v>
      </c>
    </row>
    <row r="63" spans="1:9" ht="15.75" hidden="1" customHeight="1">
      <c r="A63" s="237" t="s">
        <v>168</v>
      </c>
      <c r="B63" s="190">
        <f>[109]VEÍCULO!$D$20</f>
        <v>296440</v>
      </c>
      <c r="C63" s="165">
        <f t="shared" si="0"/>
        <v>133.24583325841888</v>
      </c>
      <c r="D63" s="183">
        <f t="shared" si="24"/>
        <v>0.11820730183389472</v>
      </c>
      <c r="E63" s="183">
        <f t="shared" si="23"/>
        <v>0.87453635961478593</v>
      </c>
      <c r="F63" s="184">
        <f t="shared" si="20"/>
        <v>4.9345132743362941</v>
      </c>
      <c r="G63" s="185">
        <f t="shared" si="19"/>
        <v>11.433135983460208</v>
      </c>
      <c r="H63" s="174">
        <f>+B$211/B63</f>
        <v>1.635899338820672</v>
      </c>
    </row>
    <row r="64" spans="1:9" ht="15.75" hidden="1" customHeight="1">
      <c r="A64" s="237" t="s">
        <v>169</v>
      </c>
      <c r="B64" s="190">
        <f>[110]VEÍCULO!$D$20</f>
        <v>297160</v>
      </c>
      <c r="C64" s="165">
        <f t="shared" si="0"/>
        <v>133.56946367248602</v>
      </c>
      <c r="D64" s="183">
        <f t="shared" si="24"/>
        <v>0.24288220213195544</v>
      </c>
      <c r="E64" s="183">
        <f t="shared" si="23"/>
        <v>1.1195426549154286</v>
      </c>
      <c r="F64" s="184">
        <f t="shared" si="20"/>
        <v>4.2666666666666631</v>
      </c>
      <c r="G64" s="185">
        <f t="shared" si="19"/>
        <v>12.30536659108088</v>
      </c>
      <c r="H64" s="174">
        <f>+B$211/B64</f>
        <v>1.6319356575582178</v>
      </c>
    </row>
    <row r="65" spans="1:8" ht="15.75" hidden="1" customHeight="1">
      <c r="A65" s="237" t="s">
        <v>170</v>
      </c>
      <c r="B65" s="190">
        <f>[111]VEÍCULO!$D$20</f>
        <v>298780</v>
      </c>
      <c r="C65" s="165">
        <f t="shared" si="0"/>
        <v>134.29763210413708</v>
      </c>
      <c r="D65" s="183">
        <f t="shared" si="24"/>
        <v>0.54516085610445408</v>
      </c>
      <c r="E65" s="183">
        <f t="shared" ref="E65:E70" si="25">100*(B65/B$58-1)</f>
        <v>1.6708068193418857</v>
      </c>
      <c r="F65" s="184">
        <f t="shared" ref="F65:F70" si="26">(100*(B65/B53-1))</f>
        <v>2.9989190200756966</v>
      </c>
      <c r="G65" s="185">
        <f t="shared" si="19"/>
        <v>13.174242424242433</v>
      </c>
      <c r="H65" s="174">
        <f>+B$211/B65</f>
        <v>1.6230872213668921</v>
      </c>
    </row>
    <row r="66" spans="1:8" ht="15.75" hidden="1" customHeight="1">
      <c r="A66" s="237" t="s">
        <v>171</v>
      </c>
      <c r="B66" s="190">
        <f>[112]VEÍCULO!$D$20</f>
        <v>300880</v>
      </c>
      <c r="C66" s="165">
        <f t="shared" si="0"/>
        <v>135.24155414516622</v>
      </c>
      <c r="D66" s="183">
        <f t="shared" ref="D66:D71" si="27">100*(B66/B65-1)</f>
        <v>0.7028582903808811</v>
      </c>
      <c r="E66" s="183">
        <f t="shared" si="25"/>
        <v>2.3854085139687564</v>
      </c>
      <c r="F66" s="184">
        <f t="shared" si="26"/>
        <v>3.0082884560739265</v>
      </c>
      <c r="G66" s="185">
        <f t="shared" si="19"/>
        <v>14.229309035687177</v>
      </c>
      <c r="H66" s="174">
        <f>+B$211/B66</f>
        <v>1.6117588407338475</v>
      </c>
    </row>
    <row r="67" spans="1:8" ht="15.75" hidden="1" customHeight="1">
      <c r="A67" s="237" t="s">
        <v>172</v>
      </c>
      <c r="B67" s="190">
        <f>[113]VEÍCULO!$D$20</f>
        <v>301260</v>
      </c>
      <c r="C67" s="165">
        <f t="shared" si="0"/>
        <v>135.41235908592387</v>
      </c>
      <c r="D67" s="183">
        <f t="shared" si="27"/>
        <v>0.12629619781971968</v>
      </c>
      <c r="E67" s="183">
        <f t="shared" si="25"/>
        <v>2.5147173920440968</v>
      </c>
      <c r="F67" s="184">
        <f t="shared" si="26"/>
        <v>2.9973366883993879</v>
      </c>
      <c r="G67" s="185">
        <f t="shared" si="19"/>
        <v>11.029485393482608</v>
      </c>
      <c r="H67" s="174">
        <f>+B$211/B67</f>
        <v>1.6097258182301002</v>
      </c>
    </row>
    <row r="68" spans="1:8" ht="15.75" hidden="1" customHeight="1">
      <c r="A68" s="237" t="s">
        <v>173</v>
      </c>
      <c r="B68" s="190">
        <f>[114]VEÍCULO!$D$20</f>
        <v>303200</v>
      </c>
      <c r="C68" s="165">
        <f t="shared" si="0"/>
        <v>136.28436325716032</v>
      </c>
      <c r="D68" s="183">
        <f t="shared" si="27"/>
        <v>0.64396202615681908</v>
      </c>
      <c r="E68" s="183">
        <f t="shared" si="25"/>
        <v>3.1748732432708371</v>
      </c>
      <c r="F68" s="184">
        <f t="shared" si="26"/>
        <v>3.5756132721626921</v>
      </c>
      <c r="G68" s="185">
        <f t="shared" si="19"/>
        <v>11.470588235294121</v>
      </c>
      <c r="H68" s="174">
        <f>+B$211/B68</f>
        <v>1.5994261213720318</v>
      </c>
    </row>
    <row r="69" spans="1:8" ht="15.75" hidden="1" customHeight="1">
      <c r="A69" s="237" t="s">
        <v>174</v>
      </c>
      <c r="B69" s="190">
        <f>[115]VEÍCULO!$D$20</f>
        <v>303400</v>
      </c>
      <c r="C69" s="165">
        <f t="shared" si="0"/>
        <v>136.37426059440119</v>
      </c>
      <c r="D69" s="183">
        <f t="shared" si="27"/>
        <v>6.5963060686025088E-2</v>
      </c>
      <c r="E69" s="183">
        <f t="shared" si="25"/>
        <v>3.2429305475210057</v>
      </c>
      <c r="F69" s="184">
        <f t="shared" si="26"/>
        <v>3.4143082591697516</v>
      </c>
      <c r="G69" s="185">
        <f t="shared" si="19"/>
        <v>11.997046880767815</v>
      </c>
      <c r="H69" s="174">
        <f>+B$211/B69</f>
        <v>1.5983717864205669</v>
      </c>
    </row>
    <row r="70" spans="1:8" ht="15.75" hidden="1" customHeight="1">
      <c r="A70" s="237" t="s">
        <v>175</v>
      </c>
      <c r="B70" s="190">
        <f>[116]VEÍCULO!$D$20</f>
        <v>303100</v>
      </c>
      <c r="C70" s="165">
        <f t="shared" si="0"/>
        <v>136.23941458853989</v>
      </c>
      <c r="D70" s="183">
        <f t="shared" si="27"/>
        <v>-9.8879367172055588E-2</v>
      </c>
      <c r="E70" s="183">
        <f t="shared" si="25"/>
        <v>3.1408445911457417</v>
      </c>
      <c r="F70" s="184">
        <f t="shared" si="26"/>
        <v>3.1408445911457417</v>
      </c>
      <c r="G70" s="185">
        <f t="shared" si="19"/>
        <v>11.982757241591656</v>
      </c>
      <c r="H70" s="174">
        <f>+B$211/B70</f>
        <v>1.5999538106235567</v>
      </c>
    </row>
    <row r="71" spans="1:8" ht="15.75" hidden="1" customHeight="1">
      <c r="A71" s="237" t="s">
        <v>176</v>
      </c>
      <c r="B71" s="190">
        <f>[117]VEÍCULO!$D$20</f>
        <v>301300</v>
      </c>
      <c r="C71" s="165">
        <f t="shared" si="0"/>
        <v>135.43033855337205</v>
      </c>
      <c r="D71" s="183">
        <f t="shared" si="27"/>
        <v>-0.59386341141537402</v>
      </c>
      <c r="E71" s="183">
        <f t="shared" ref="E71:E76" si="28">100*(B71/B$70-1)</f>
        <v>-0.59386341141537402</v>
      </c>
      <c r="F71" s="184">
        <f t="shared" ref="F71:F76" si="29">(100*(B71/B59-1))</f>
        <v>2.34375</v>
      </c>
      <c r="G71" s="185">
        <f t="shared" si="19"/>
        <v>10.124269005847953</v>
      </c>
      <c r="H71" s="174">
        <f>+B$211/B71</f>
        <v>1.6095121141719217</v>
      </c>
    </row>
    <row r="72" spans="1:8" ht="15.75" hidden="1" customHeight="1">
      <c r="A72" s="237" t="s">
        <v>177</v>
      </c>
      <c r="B72" s="190">
        <f>[118]VEÍCULO!$D$20</f>
        <v>300900</v>
      </c>
      <c r="C72" s="165">
        <f t="shared" si="0"/>
        <v>135.25054387889031</v>
      </c>
      <c r="D72" s="183">
        <f t="shared" ref="D72:D77" si="30">100*(B72/B71-1)</f>
        <v>-0.1327580484566826</v>
      </c>
      <c r="E72" s="183">
        <f t="shared" si="28"/>
        <v>-0.72583305839656331</v>
      </c>
      <c r="F72" s="184">
        <f t="shared" si="29"/>
        <v>1.9032782443782148</v>
      </c>
      <c r="G72" s="185">
        <f t="shared" si="19"/>
        <v>10.152530687583528</v>
      </c>
      <c r="H72" s="174">
        <f>+B$211/B72</f>
        <v>1.6116517115320705</v>
      </c>
    </row>
    <row r="73" spans="1:8" ht="15.75" hidden="1" customHeight="1">
      <c r="A73" s="237" t="s">
        <v>178</v>
      </c>
      <c r="B73" s="190">
        <f>[119]VEÍCULO!$D$20</f>
        <v>300860</v>
      </c>
      <c r="C73" s="165">
        <f t="shared" si="0"/>
        <v>135.23256441144213</v>
      </c>
      <c r="D73" s="183">
        <f t="shared" si="30"/>
        <v>-1.329345297440554E-2</v>
      </c>
      <c r="E73" s="183">
        <f t="shared" si="28"/>
        <v>-0.7390300230946889</v>
      </c>
      <c r="F73" s="184">
        <f t="shared" si="29"/>
        <v>1.7518939393939448</v>
      </c>
      <c r="G73" s="185">
        <f t="shared" si="19"/>
        <v>7.3267926751087176</v>
      </c>
      <c r="H73" s="174">
        <f>+B$211/B73</f>
        <v>1.6118659841786878</v>
      </c>
    </row>
    <row r="74" spans="1:8" ht="15.75" hidden="1" customHeight="1">
      <c r="A74" s="237" t="s">
        <v>179</v>
      </c>
      <c r="B74" s="190">
        <f>[120]VEÍCULO!$D$20</f>
        <v>301360</v>
      </c>
      <c r="C74" s="165">
        <f t="shared" si="0"/>
        <v>135.4573077545443</v>
      </c>
      <c r="D74" s="183">
        <f t="shared" si="30"/>
        <v>0.16619025460347103</v>
      </c>
      <c r="E74" s="183">
        <f t="shared" si="28"/>
        <v>-0.57406796436819674</v>
      </c>
      <c r="F74" s="184">
        <f t="shared" si="29"/>
        <v>1.7798642304704737</v>
      </c>
      <c r="G74" s="185">
        <f t="shared" si="19"/>
        <v>6.2195351527764231</v>
      </c>
      <c r="H74" s="174">
        <f>+B$211/B74</f>
        <v>1.609191664454473</v>
      </c>
    </row>
    <row r="75" spans="1:8" ht="15.75" hidden="1" customHeight="1">
      <c r="A75" s="237" t="s">
        <v>180</v>
      </c>
      <c r="B75" s="190">
        <f>[121]VEÍCULO!$D$20</f>
        <v>301760</v>
      </c>
      <c r="C75" s="165">
        <f t="shared" si="0"/>
        <v>135.63710242902604</v>
      </c>
      <c r="D75" s="183">
        <f t="shared" si="30"/>
        <v>0.13273161667108901</v>
      </c>
      <c r="E75" s="183">
        <f t="shared" si="28"/>
        <v>-0.44209831738699634</v>
      </c>
      <c r="F75" s="184">
        <f t="shared" si="29"/>
        <v>1.7946296046417398</v>
      </c>
      <c r="G75" s="185">
        <f t="shared" si="19"/>
        <v>6.8176991150442401</v>
      </c>
      <c r="H75" s="174">
        <f>+B$211/B75</f>
        <v>1.6070585896076353</v>
      </c>
    </row>
    <row r="76" spans="1:8" ht="15.75" hidden="1" customHeight="1">
      <c r="A76" s="237" t="s">
        <v>181</v>
      </c>
      <c r="B76" s="190">
        <f>[122]VEÍCULO!$D$20</f>
        <v>301500</v>
      </c>
      <c r="C76" s="165">
        <f t="shared" si="0"/>
        <v>135.52023589061292</v>
      </c>
      <c r="D76" s="183">
        <f t="shared" si="30"/>
        <v>-8.6161187698829966E-2</v>
      </c>
      <c r="E76" s="183">
        <f t="shared" si="28"/>
        <v>-0.52787858792477937</v>
      </c>
      <c r="F76" s="184">
        <f t="shared" si="29"/>
        <v>1.4604926638847715</v>
      </c>
      <c r="G76" s="185">
        <f t="shared" si="19"/>
        <v>5.7894736842105221</v>
      </c>
      <c r="H76" s="174">
        <f>+B$211/B76</f>
        <v>1.6084444444444443</v>
      </c>
    </row>
    <row r="77" spans="1:8" ht="15.75" hidden="1" customHeight="1">
      <c r="A77" s="237" t="s">
        <v>182</v>
      </c>
      <c r="B77" s="190">
        <f>[123]VEÍCULO!$D$20</f>
        <v>301450</v>
      </c>
      <c r="C77" s="165">
        <f t="shared" si="0"/>
        <v>135.49776155630269</v>
      </c>
      <c r="D77" s="183">
        <f t="shared" si="30"/>
        <v>-1.6583747927034764E-2</v>
      </c>
      <c r="E77" s="183">
        <f t="shared" ref="E77:E82" si="31">100*(B77/B$70-1)</f>
        <v>-0.54437479379743081</v>
      </c>
      <c r="F77" s="184">
        <f t="shared" ref="F77:F82" si="32">(100*(B77/B65-1))</f>
        <v>0.89363411205569676</v>
      </c>
      <c r="G77" s="185">
        <f t="shared" si="19"/>
        <v>3.9193524954877157</v>
      </c>
      <c r="H77" s="174">
        <f>+B$211/B77</f>
        <v>1.6087112290595456</v>
      </c>
    </row>
    <row r="78" spans="1:8" ht="15.75" hidden="1" customHeight="1">
      <c r="A78" s="237" t="s">
        <v>183</v>
      </c>
      <c r="B78" s="190">
        <f>[124]VEÍCULO!$D$20</f>
        <v>302100</v>
      </c>
      <c r="C78" s="165">
        <f t="shared" si="0"/>
        <v>135.78992790233553</v>
      </c>
      <c r="D78" s="183">
        <f t="shared" ref="D78:D83" si="33">100*(B78/B77-1)</f>
        <v>0.21562448167191661</v>
      </c>
      <c r="E78" s="183">
        <f t="shared" si="31"/>
        <v>-0.32992411745298433</v>
      </c>
      <c r="F78" s="184">
        <f t="shared" si="32"/>
        <v>0.40547726668438422</v>
      </c>
      <c r="G78" s="185">
        <f t="shared" ref="G78:G100" si="34">100*(B78/B54-1)</f>
        <v>3.4259636485639788</v>
      </c>
      <c r="H78" s="174">
        <f>+B$211/B78</f>
        <v>1.6052499172459451</v>
      </c>
    </row>
    <row r="79" spans="1:8" ht="15.75" hidden="1" customHeight="1">
      <c r="A79" s="237" t="s">
        <v>184</v>
      </c>
      <c r="B79" s="190">
        <f>[125]VEÍCULO!$D$20</f>
        <v>302500</v>
      </c>
      <c r="C79" s="165">
        <f t="shared" si="0"/>
        <v>135.96972257681728</v>
      </c>
      <c r="D79" s="183">
        <f t="shared" si="33"/>
        <v>0.1324064879179021</v>
      </c>
      <c r="E79" s="183">
        <f t="shared" si="31"/>
        <v>-0.19795447047179504</v>
      </c>
      <c r="F79" s="184">
        <f t="shared" si="32"/>
        <v>0.4116045940383728</v>
      </c>
      <c r="G79" s="185">
        <f t="shared" si="34"/>
        <v>3.4212784579459976</v>
      </c>
      <c r="H79" s="174">
        <f>+B$211/B79</f>
        <v>1.6031272727272727</v>
      </c>
    </row>
    <row r="80" spans="1:8" ht="15.75" hidden="1" customHeight="1">
      <c r="A80" s="237" t="s">
        <v>185</v>
      </c>
      <c r="B80" s="190">
        <f>[126]VEÍCULO!$D$20</f>
        <v>303200</v>
      </c>
      <c r="C80" s="165">
        <f t="shared" si="0"/>
        <v>136.28436325716032</v>
      </c>
      <c r="D80" s="183">
        <f t="shared" si="33"/>
        <v>0.2314049586776834</v>
      </c>
      <c r="E80" s="183">
        <f t="shared" si="31"/>
        <v>3.2992411745302874E-2</v>
      </c>
      <c r="F80" s="184">
        <f t="shared" si="32"/>
        <v>0</v>
      </c>
      <c r="G80" s="185">
        <f t="shared" si="34"/>
        <v>3.5756132721626921</v>
      </c>
      <c r="H80" s="174">
        <f>+B$211/B80</f>
        <v>1.5994261213720318</v>
      </c>
    </row>
    <row r="81" spans="1:8" ht="15.75" hidden="1" customHeight="1">
      <c r="A81" s="237" t="s">
        <v>186</v>
      </c>
      <c r="B81" s="190">
        <f>[127]VEÍCULO!$D$20</f>
        <v>303450</v>
      </c>
      <c r="C81" s="165">
        <f t="shared" si="0"/>
        <v>136.39673492871142</v>
      </c>
      <c r="D81" s="183">
        <f t="shared" si="33"/>
        <v>8.2453825857520258E-2</v>
      </c>
      <c r="E81" s="183">
        <f t="shared" si="31"/>
        <v>0.11547344110853786</v>
      </c>
      <c r="F81" s="184">
        <f t="shared" si="32"/>
        <v>1.6479894528664829E-2</v>
      </c>
      <c r="G81" s="185">
        <f t="shared" si="34"/>
        <v>3.4313508280984228</v>
      </c>
      <c r="H81" s="174">
        <f>+B$211/B81</f>
        <v>1.5981084198385236</v>
      </c>
    </row>
    <row r="82" spans="1:8" ht="15.75" hidden="1" customHeight="1">
      <c r="A82" s="237" t="s">
        <v>187</v>
      </c>
      <c r="B82" s="190">
        <f>[128]VEÍCULO!$D$20</f>
        <v>304050</v>
      </c>
      <c r="C82" s="165">
        <f t="shared" si="0"/>
        <v>136.66642694043404</v>
      </c>
      <c r="D82" s="183">
        <f t="shared" si="33"/>
        <v>0.19772614928323939</v>
      </c>
      <c r="E82" s="183">
        <f t="shared" si="31"/>
        <v>0.3134279115803329</v>
      </c>
      <c r="F82" s="184">
        <f t="shared" si="32"/>
        <v>0.3134279115803329</v>
      </c>
      <c r="G82" s="185">
        <f t="shared" si="34"/>
        <v>3.4641167863340927</v>
      </c>
      <c r="H82" s="174">
        <f>+B$211/B82</f>
        <v>1.5949547771748067</v>
      </c>
    </row>
    <row r="83" spans="1:8" ht="15.75" hidden="1" customHeight="1">
      <c r="A83" s="237" t="s">
        <v>188</v>
      </c>
      <c r="B83" s="190">
        <f>[129]VEÍCULO!$D$20</f>
        <v>304900</v>
      </c>
      <c r="C83" s="165">
        <f t="shared" si="0"/>
        <v>137.04849062370772</v>
      </c>
      <c r="D83" s="183">
        <f t="shared" si="33"/>
        <v>0.27955928301266475</v>
      </c>
      <c r="E83" s="183">
        <f t="shared" ref="E83:E88" si="35">100*(B83/B$82-1)</f>
        <v>0.27955928301266475</v>
      </c>
      <c r="F83" s="184">
        <f t="shared" ref="F83:F100" si="36">(100*(B83/B71-1))</f>
        <v>1.1948224361101989</v>
      </c>
      <c r="G83" s="185">
        <f t="shared" si="34"/>
        <v>3.5665760869565188</v>
      </c>
      <c r="H83" s="174">
        <f>+B$211/B83</f>
        <v>1.5905083633978354</v>
      </c>
    </row>
    <row r="84" spans="1:8" ht="15.75" hidden="1" customHeight="1">
      <c r="A84" s="237" t="s">
        <v>189</v>
      </c>
      <c r="B84" s="190">
        <f>[130]VEÍCULO!$D$20</f>
        <v>304500</v>
      </c>
      <c r="C84" s="165">
        <f t="shared" si="0"/>
        <v>136.86869594922598</v>
      </c>
      <c r="D84" s="183">
        <f t="shared" ref="D84:D89" si="37">100*(B84/B83-1)</f>
        <v>-0.13119055428009174</v>
      </c>
      <c r="E84" s="183">
        <f t="shared" si="35"/>
        <v>0.14800197335964604</v>
      </c>
      <c r="F84" s="184">
        <f t="shared" si="36"/>
        <v>1.1964107676968982</v>
      </c>
      <c r="G84" s="185">
        <f t="shared" si="34"/>
        <v>3.1224600379301082</v>
      </c>
      <c r="H84" s="174">
        <f>+B$211/B84</f>
        <v>1.5925977011494252</v>
      </c>
    </row>
    <row r="85" spans="1:8" ht="15.75" hidden="1" customHeight="1">
      <c r="A85" s="237" t="s">
        <v>190</v>
      </c>
      <c r="B85" s="190">
        <f>[131]VEÍCULO!$D$20</f>
        <v>308491.2</v>
      </c>
      <c r="C85" s="165">
        <f t="shared" si="0"/>
        <v>138.6626872112048</v>
      </c>
      <c r="D85" s="183">
        <f t="shared" si="37"/>
        <v>1.3107389162561711</v>
      </c>
      <c r="E85" s="183">
        <f t="shared" si="35"/>
        <v>1.4606808090774637</v>
      </c>
      <c r="F85" s="184">
        <f t="shared" si="36"/>
        <v>2.5364621418600075</v>
      </c>
      <c r="G85" s="185">
        <f t="shared" si="34"/>
        <v>4.3327922077922132</v>
      </c>
      <c r="H85" s="174">
        <f>+B$211/B85</f>
        <v>1.5719929774333918</v>
      </c>
    </row>
    <row r="86" spans="1:8" ht="15.75" hidden="1" customHeight="1">
      <c r="A86" s="237" t="s">
        <v>191</v>
      </c>
      <c r="B86" s="190">
        <f>[132]VEÍCULO!$D$20</f>
        <v>313656</v>
      </c>
      <c r="C86" s="165">
        <f t="shared" si="0"/>
        <v>140.98419604811306</v>
      </c>
      <c r="D86" s="183">
        <f t="shared" si="37"/>
        <v>1.674213073176789</v>
      </c>
      <c r="E86" s="183">
        <f t="shared" si="35"/>
        <v>3.1593487913172069</v>
      </c>
      <c r="F86" s="184">
        <f t="shared" si="36"/>
        <v>4.0801698964693323</v>
      </c>
      <c r="G86" s="185">
        <f t="shared" si="34"/>
        <v>5.932655611469495</v>
      </c>
      <c r="H86" s="174">
        <f>+B$211/B86</f>
        <v>1.5461078378860917</v>
      </c>
    </row>
    <row r="87" spans="1:8" ht="15.75" hidden="1" customHeight="1">
      <c r="A87" s="237" t="s">
        <v>192</v>
      </c>
      <c r="B87" s="190">
        <f>[133]VEÍCULO!$D$20</f>
        <v>313656</v>
      </c>
      <c r="C87" s="165">
        <f t="shared" si="0"/>
        <v>140.98419604811306</v>
      </c>
      <c r="D87" s="183">
        <f t="shared" si="37"/>
        <v>0</v>
      </c>
      <c r="E87" s="183">
        <f t="shared" si="35"/>
        <v>3.1593487913172069</v>
      </c>
      <c r="F87" s="184">
        <f t="shared" si="36"/>
        <v>3.9422057264050903</v>
      </c>
      <c r="G87" s="185">
        <f t="shared" si="34"/>
        <v>5.807583322088794</v>
      </c>
      <c r="H87" s="174">
        <f>+B$211/B87</f>
        <v>1.5461078378860917</v>
      </c>
    </row>
    <row r="88" spans="1:8" ht="15.75" hidden="1" customHeight="1">
      <c r="A88" s="237" t="s">
        <v>193</v>
      </c>
      <c r="B88" s="190">
        <f>[134]VEÍCULO!$D$20</f>
        <v>315729.59999999998</v>
      </c>
      <c r="C88" s="165">
        <f t="shared" si="0"/>
        <v>141.9162516406264</v>
      </c>
      <c r="D88" s="183">
        <f t="shared" si="37"/>
        <v>0.66110643507535372</v>
      </c>
      <c r="E88" s="183">
        <f t="shared" si="35"/>
        <v>3.8413418845584468</v>
      </c>
      <c r="F88" s="184">
        <f t="shared" si="36"/>
        <v>4.7196019900497488</v>
      </c>
      <c r="G88" s="185">
        <f t="shared" si="34"/>
        <v>6.2490240947637554</v>
      </c>
      <c r="H88" s="174">
        <f>+B$211/B88</f>
        <v>1.5359535501264374</v>
      </c>
    </row>
    <row r="89" spans="1:8" ht="15.75" hidden="1" customHeight="1">
      <c r="A89" s="237" t="s">
        <v>194</v>
      </c>
      <c r="B89" s="190">
        <f>[135]VEÍCULO!$D$20</f>
        <v>315729.59999999998</v>
      </c>
      <c r="C89" s="165">
        <f t="shared" si="0"/>
        <v>141.9162516406264</v>
      </c>
      <c r="D89" s="183">
        <f t="shared" si="37"/>
        <v>0</v>
      </c>
      <c r="E89" s="183">
        <f t="shared" ref="E89:E94" si="38">100*(B89/B$82-1)</f>
        <v>3.8413418845584468</v>
      </c>
      <c r="F89" s="184">
        <f t="shared" si="36"/>
        <v>4.7369713053574403</v>
      </c>
      <c r="G89" s="185">
        <f t="shared" si="34"/>
        <v>5.6729366088760891</v>
      </c>
      <c r="H89" s="174">
        <f>+B$211/B89</f>
        <v>1.5359535501264374</v>
      </c>
    </row>
    <row r="90" spans="1:8" ht="15.75" hidden="1" customHeight="1">
      <c r="A90" s="237" t="s">
        <v>195</v>
      </c>
      <c r="B90" s="190">
        <f>[136]VEÍCULO!$D$20</f>
        <v>314856</v>
      </c>
      <c r="C90" s="165">
        <f t="shared" si="0"/>
        <v>141.52358007155829</v>
      </c>
      <c r="D90" s="183">
        <f t="shared" ref="D90:D95" si="39">100*(B90/B89-1)</f>
        <v>-0.27669246089058186</v>
      </c>
      <c r="E90" s="183">
        <f t="shared" si="38"/>
        <v>3.554020720276263</v>
      </c>
      <c r="F90" s="184">
        <f t="shared" si="36"/>
        <v>4.2224428997020835</v>
      </c>
      <c r="G90" s="185">
        <f t="shared" si="34"/>
        <v>4.6450412124434903</v>
      </c>
      <c r="H90" s="174">
        <f>+B$211/B90</f>
        <v>1.5402152094925934</v>
      </c>
    </row>
    <row r="91" spans="1:8" ht="15.75" hidden="1" customHeight="1">
      <c r="A91" s="237" t="s">
        <v>196</v>
      </c>
      <c r="B91" s="190">
        <f>[137]VEÍCULO!$D$20</f>
        <v>311291.2</v>
      </c>
      <c r="C91" s="165">
        <f t="shared" si="0"/>
        <v>139.92124993257698</v>
      </c>
      <c r="D91" s="183">
        <f t="shared" si="39"/>
        <v>-1.1322001168788232</v>
      </c>
      <c r="E91" s="183">
        <f t="shared" si="38"/>
        <v>2.3815819766485724</v>
      </c>
      <c r="F91" s="184">
        <f t="shared" si="36"/>
        <v>2.90618181818183</v>
      </c>
      <c r="G91" s="185">
        <f t="shared" si="34"/>
        <v>3.3297483900949443</v>
      </c>
      <c r="H91" s="174">
        <f>+B$211/B91</f>
        <v>1.5578532255328772</v>
      </c>
    </row>
    <row r="92" spans="1:8" ht="15.75" hidden="1" customHeight="1">
      <c r="A92" s="237" t="s">
        <v>197</v>
      </c>
      <c r="B92" s="190">
        <f>[138]VEÍCULO!$D$20</f>
        <v>318020.8</v>
      </c>
      <c r="C92" s="165">
        <f t="shared" si="0"/>
        <v>142.94611553605782</v>
      </c>
      <c r="D92" s="183">
        <f t="shared" si="39"/>
        <v>2.1618343210472846</v>
      </c>
      <c r="E92" s="183">
        <f t="shared" si="38"/>
        <v>4.594902154250935</v>
      </c>
      <c r="F92" s="184">
        <f t="shared" si="36"/>
        <v>4.8881266490765185</v>
      </c>
      <c r="G92" s="185">
        <f t="shared" si="34"/>
        <v>4.8881266490765185</v>
      </c>
      <c r="H92" s="174">
        <f>+B$211/B92</f>
        <v>1.5248876803026721</v>
      </c>
    </row>
    <row r="93" spans="1:8" ht="15.75" hidden="1" customHeight="1">
      <c r="A93" s="237" t="s">
        <v>198</v>
      </c>
      <c r="B93" s="190">
        <f>[139]VEÍCULO!$D$20</f>
        <v>318020.8</v>
      </c>
      <c r="C93" s="165">
        <f t="shared" si="0"/>
        <v>142.94611553605782</v>
      </c>
      <c r="D93" s="183">
        <f t="shared" si="39"/>
        <v>0</v>
      </c>
      <c r="E93" s="183">
        <f t="shared" si="38"/>
        <v>4.594902154250935</v>
      </c>
      <c r="F93" s="184">
        <f t="shared" si="36"/>
        <v>4.8017136266271132</v>
      </c>
      <c r="G93" s="185">
        <f t="shared" si="34"/>
        <v>4.8189848384970313</v>
      </c>
      <c r="H93" s="174">
        <f>+B$211/B93</f>
        <v>1.5248876803026721</v>
      </c>
    </row>
    <row r="94" spans="1:8" ht="15.75" hidden="1" customHeight="1">
      <c r="A94" s="281" t="s">
        <v>199</v>
      </c>
      <c r="B94" s="190">
        <f>[140]VEÍCULO!$D$20</f>
        <v>318820.8</v>
      </c>
      <c r="C94" s="165">
        <f t="shared" si="0"/>
        <v>143.3057048850213</v>
      </c>
      <c r="D94" s="183">
        <f t="shared" si="39"/>
        <v>0.25155587307497118</v>
      </c>
      <c r="E94" s="183">
        <f t="shared" si="38"/>
        <v>4.8580167735569724</v>
      </c>
      <c r="F94" s="184">
        <f t="shared" si="36"/>
        <v>4.8580167735569724</v>
      </c>
      <c r="G94" s="185">
        <f t="shared" si="34"/>
        <v>5.1866710656548909</v>
      </c>
      <c r="H94" s="174">
        <f>+B$211/B94</f>
        <v>1.5210613611157116</v>
      </c>
    </row>
    <row r="95" spans="1:8" ht="16.5" customHeight="1">
      <c r="A95" s="282" t="s">
        <v>200</v>
      </c>
      <c r="B95" s="190">
        <f>[141]VEÍCULO!$D$20</f>
        <v>317876</v>
      </c>
      <c r="C95" s="165">
        <f t="shared" si="0"/>
        <v>142.88102986389544</v>
      </c>
      <c r="D95" s="166">
        <f t="shared" si="39"/>
        <v>-0.29634202034496404</v>
      </c>
      <c r="E95" s="166">
        <f t="shared" ref="E95:E100" si="40">100*(B95/B$94-1)</f>
        <v>-0.29634202034496404</v>
      </c>
      <c r="F95" s="169">
        <f t="shared" si="36"/>
        <v>4.2558215808461863</v>
      </c>
      <c r="G95" s="170">
        <f t="shared" si="34"/>
        <v>5.5014935280451427</v>
      </c>
      <c r="H95" s="174">
        <f>+B$211/B95</f>
        <v>1.5255823025330633</v>
      </c>
    </row>
    <row r="96" spans="1:8" ht="16.5" customHeight="1">
      <c r="A96" s="189" t="s">
        <v>201</v>
      </c>
      <c r="B96" s="190">
        <f>[142]VEÍCULO!$D$20</f>
        <v>317876</v>
      </c>
      <c r="C96" s="165">
        <f t="shared" si="0"/>
        <v>142.88102986389544</v>
      </c>
      <c r="D96" s="166">
        <f t="shared" ref="D96:D101" si="41">100*(B96/B95-1)</f>
        <v>0</v>
      </c>
      <c r="E96" s="166">
        <f t="shared" si="40"/>
        <v>-0.29634202034496404</v>
      </c>
      <c r="F96" s="169">
        <f t="shared" si="36"/>
        <v>4.3927750410509114</v>
      </c>
      <c r="G96" s="170">
        <f t="shared" si="34"/>
        <v>5.6417414423396428</v>
      </c>
      <c r="H96" s="174">
        <f>+B$211/B96</f>
        <v>1.5255823025330633</v>
      </c>
    </row>
    <row r="97" spans="1:8" ht="16.5" customHeight="1">
      <c r="A97" s="189" t="s">
        <v>202</v>
      </c>
      <c r="B97" s="190">
        <f>[143]VEÍCULO!$D$20</f>
        <v>320456</v>
      </c>
      <c r="C97" s="165">
        <f t="shared" si="0"/>
        <v>144.04070551430266</v>
      </c>
      <c r="D97" s="166">
        <f t="shared" si="41"/>
        <v>0.81163724219506239</v>
      </c>
      <c r="E97" s="166">
        <f t="shared" si="40"/>
        <v>0.51288999964871351</v>
      </c>
      <c r="F97" s="169">
        <f t="shared" si="36"/>
        <v>3.8784898888525765</v>
      </c>
      <c r="G97" s="170">
        <f t="shared" si="34"/>
        <v>6.5133284584191875</v>
      </c>
      <c r="H97" s="174">
        <f t="shared" ref="H97:H160" si="42">+B$211/B97</f>
        <v>1.5132997977881519</v>
      </c>
    </row>
    <row r="98" spans="1:8" ht="16.5" customHeight="1">
      <c r="A98" s="189" t="s">
        <v>203</v>
      </c>
      <c r="B98" s="190">
        <f>[144]VEÍCULO!$D$20</f>
        <v>321220</v>
      </c>
      <c r="C98" s="165">
        <f t="shared" si="0"/>
        <v>144.38411334256278</v>
      </c>
      <c r="D98" s="166">
        <f t="shared" si="41"/>
        <v>0.23841026537183563</v>
      </c>
      <c r="E98" s="166">
        <f t="shared" si="40"/>
        <v>0.75252304742978726</v>
      </c>
      <c r="F98" s="169">
        <f t="shared" si="36"/>
        <v>2.4115591603540265</v>
      </c>
      <c r="G98" s="170">
        <f t="shared" si="34"/>
        <v>6.5901247677196739</v>
      </c>
      <c r="H98" s="174">
        <f t="shared" si="42"/>
        <v>1.509700516779777</v>
      </c>
    </row>
    <row r="99" spans="1:8" ht="16.5" customHeight="1">
      <c r="A99" s="189" t="s">
        <v>204</v>
      </c>
      <c r="B99" s="190">
        <f>[145]VEÍCULO!$D$20</f>
        <v>320440</v>
      </c>
      <c r="C99" s="165">
        <f t="shared" si="0"/>
        <v>144.0335137273234</v>
      </c>
      <c r="D99" s="166">
        <f t="shared" si="41"/>
        <v>-0.24282423261315911</v>
      </c>
      <c r="E99" s="166">
        <f t="shared" si="40"/>
        <v>0.50787150650146717</v>
      </c>
      <c r="F99" s="169">
        <f t="shared" si="36"/>
        <v>2.162879077715707</v>
      </c>
      <c r="G99" s="170">
        <f t="shared" si="34"/>
        <v>6.1903499469777357</v>
      </c>
      <c r="H99" s="174">
        <f t="shared" si="42"/>
        <v>1.513375358881538</v>
      </c>
    </row>
    <row r="100" spans="1:8" ht="16.5" customHeight="1">
      <c r="A100" s="189" t="s">
        <v>205</v>
      </c>
      <c r="B100" s="190">
        <f>[146]VEÍCULO!$D$20</f>
        <v>320440</v>
      </c>
      <c r="C100" s="165">
        <f t="shared" si="0"/>
        <v>144.0335137273234</v>
      </c>
      <c r="D100" s="166">
        <f t="shared" si="41"/>
        <v>0</v>
      </c>
      <c r="E100" s="166">
        <f t="shared" si="40"/>
        <v>0.50787150650146717</v>
      </c>
      <c r="F100" s="169">
        <f t="shared" si="36"/>
        <v>1.4919095327140752</v>
      </c>
      <c r="G100" s="170">
        <f t="shared" si="34"/>
        <v>6.2819237147595297</v>
      </c>
      <c r="H100" s="174">
        <f t="shared" si="42"/>
        <v>1.513375358881538</v>
      </c>
    </row>
    <row r="101" spans="1:8" ht="16.5" customHeight="1">
      <c r="A101" s="189" t="s">
        <v>206</v>
      </c>
      <c r="B101" s="190">
        <f>[147]VEÍCULO!$D$20</f>
        <v>319220</v>
      </c>
      <c r="C101" s="165">
        <f t="shared" si="0"/>
        <v>143.48513997015408</v>
      </c>
      <c r="D101" s="166">
        <f t="shared" si="41"/>
        <v>-0.38072650106104611</v>
      </c>
      <c r="E101" s="166">
        <f t="shared" ref="E101:E106" si="43">100*(B101/B$94-1)</f>
        <v>0.12521140402383946</v>
      </c>
      <c r="F101" s="169">
        <f t="shared" ref="F101:F106" si="44">(100*(B101/B89-1))</f>
        <v>1.1055029366901392</v>
      </c>
      <c r="G101" s="170">
        <f t="shared" ref="G101:G106" si="45">100*(B101/B77-1)</f>
        <v>5.8948415989384717</v>
      </c>
      <c r="H101" s="174">
        <f t="shared" si="42"/>
        <v>1.5191592005513439</v>
      </c>
    </row>
    <row r="102" spans="1:8" ht="16.5" customHeight="1">
      <c r="A102" s="189" t="s">
        <v>207</v>
      </c>
      <c r="B102" s="190">
        <f>[148]VEÍCULO!$D$20</f>
        <v>320164.8</v>
      </c>
      <c r="C102" s="165">
        <f t="shared" si="0"/>
        <v>143.90981499127994</v>
      </c>
      <c r="D102" s="166">
        <f t="shared" ref="D102:D107" si="46">100*(B102/B101-1)</f>
        <v>0.29597143036150797</v>
      </c>
      <c r="E102" s="166">
        <f t="shared" si="43"/>
        <v>0.4215534243688035</v>
      </c>
      <c r="F102" s="169">
        <f t="shared" si="44"/>
        <v>1.686104123789911</v>
      </c>
      <c r="G102" s="170">
        <f t="shared" si="45"/>
        <v>5.9797418073485487</v>
      </c>
      <c r="H102" s="174">
        <f t="shared" si="42"/>
        <v>1.514676191761243</v>
      </c>
    </row>
    <row r="103" spans="1:8" ht="16.5" customHeight="1">
      <c r="A103" s="189" t="s">
        <v>208</v>
      </c>
      <c r="B103" s="190">
        <f>[149]VEÍCULO!$D$20</f>
        <v>320164.8</v>
      </c>
      <c r="C103" s="165">
        <f t="shared" si="0"/>
        <v>143.90981499127994</v>
      </c>
      <c r="D103" s="166">
        <f t="shared" si="46"/>
        <v>0</v>
      </c>
      <c r="E103" s="166">
        <f t="shared" si="43"/>
        <v>0.4215534243688035</v>
      </c>
      <c r="F103" s="169">
        <f t="shared" si="44"/>
        <v>2.8505784937062018</v>
      </c>
      <c r="G103" s="170">
        <f t="shared" si="45"/>
        <v>5.8396033057851238</v>
      </c>
      <c r="H103" s="174">
        <f t="shared" si="42"/>
        <v>1.514676191761243</v>
      </c>
    </row>
    <row r="104" spans="1:8" ht="16.5" customHeight="1">
      <c r="A104" s="189" t="s">
        <v>209</v>
      </c>
      <c r="B104" s="190">
        <f>[150]VEÍCULO!$D$20</f>
        <v>320164.8</v>
      </c>
      <c r="C104" s="165">
        <f t="shared" si="0"/>
        <v>143.90981499127994</v>
      </c>
      <c r="D104" s="166">
        <f t="shared" si="46"/>
        <v>0</v>
      </c>
      <c r="E104" s="166">
        <f t="shared" si="43"/>
        <v>0.4215534243688035</v>
      </c>
      <c r="F104" s="169">
        <f t="shared" si="44"/>
        <v>0.674169739840913</v>
      </c>
      <c r="G104" s="170">
        <f t="shared" si="45"/>
        <v>5.5952506596306018</v>
      </c>
      <c r="H104" s="174">
        <f t="shared" si="42"/>
        <v>1.514676191761243</v>
      </c>
    </row>
    <row r="105" spans="1:8" ht="16.5" customHeight="1">
      <c r="A105" s="189" t="s">
        <v>210</v>
      </c>
      <c r="B105" s="190">
        <f>[151]VEÍCULO!$D$20</f>
        <v>316220</v>
      </c>
      <c r="C105" s="165">
        <f t="shared" si="0"/>
        <v>142.13667991154102</v>
      </c>
      <c r="D105" s="166">
        <f t="shared" si="46"/>
        <v>-1.2321154605378193</v>
      </c>
      <c r="E105" s="166">
        <f t="shared" si="43"/>
        <v>-0.81575606108509335</v>
      </c>
      <c r="F105" s="169">
        <f t="shared" si="44"/>
        <v>-0.56625227029175607</v>
      </c>
      <c r="G105" s="170">
        <f t="shared" si="45"/>
        <v>4.2082715439116791</v>
      </c>
      <c r="H105" s="174">
        <f t="shared" si="42"/>
        <v>1.5335715641009424</v>
      </c>
    </row>
    <row r="106" spans="1:8" ht="16.5" customHeight="1">
      <c r="A106" s="189" t="s">
        <v>211</v>
      </c>
      <c r="B106" s="190">
        <f>[152]VEÍCULO!$D$20</f>
        <v>316220</v>
      </c>
      <c r="C106" s="165">
        <f t="shared" si="0"/>
        <v>142.13667991154102</v>
      </c>
      <c r="D106" s="166">
        <f t="shared" si="46"/>
        <v>0</v>
      </c>
      <c r="E106" s="166">
        <f t="shared" si="43"/>
        <v>-0.81575606108509335</v>
      </c>
      <c r="F106" s="169">
        <f t="shared" si="44"/>
        <v>-0.81575606108509335</v>
      </c>
      <c r="G106" s="170">
        <f t="shared" si="45"/>
        <v>4.0026311461930586</v>
      </c>
      <c r="H106" s="174">
        <f t="shared" si="42"/>
        <v>1.5335715641009424</v>
      </c>
    </row>
    <row r="107" spans="1:8" ht="16.5" customHeight="1">
      <c r="A107" s="189" t="s">
        <v>212</v>
      </c>
      <c r="B107" s="190">
        <f>[153]VEÍCULO!$D$20</f>
        <v>319167.59999999998</v>
      </c>
      <c r="C107" s="165">
        <f t="shared" ref="C107:C112" si="47">100*B107/B$8</f>
        <v>143.46158686779697</v>
      </c>
      <c r="D107" s="166">
        <f t="shared" si="46"/>
        <v>0.93213585478464367</v>
      </c>
      <c r="E107" s="166">
        <f t="shared" ref="E107:E112" si="48">100*(B107/B$106-1)</f>
        <v>0.93213585478464367</v>
      </c>
      <c r="F107" s="169">
        <f t="shared" ref="F107:F112" si="49">(100*(B107/B95-1))</f>
        <v>0.40632196202292636</v>
      </c>
      <c r="G107" s="170">
        <f t="shared" ref="G107:G112" si="50">100*(B107/B83-1)</f>
        <v>4.6794358806165892</v>
      </c>
      <c r="H107" s="174">
        <f t="shared" si="42"/>
        <v>1.5194086116510575</v>
      </c>
    </row>
    <row r="108" spans="1:8" ht="16.5" customHeight="1">
      <c r="A108" s="189" t="s">
        <v>213</v>
      </c>
      <c r="B108" s="190">
        <f>[154]VEÍCULO!$D$20</f>
        <v>319167.59999999998</v>
      </c>
      <c r="C108" s="165">
        <f t="shared" si="47"/>
        <v>143.46158686779697</v>
      </c>
      <c r="D108" s="166">
        <f t="shared" ref="D108:D113" si="51">100*(B108/B107-1)</f>
        <v>0</v>
      </c>
      <c r="E108" s="166">
        <f t="shared" si="48"/>
        <v>0.93213585478464367</v>
      </c>
      <c r="F108" s="169">
        <f t="shared" si="49"/>
        <v>0.40632196202292636</v>
      </c>
      <c r="G108" s="170">
        <f t="shared" si="50"/>
        <v>4.8169458128078713</v>
      </c>
      <c r="H108" s="174">
        <f t="shared" si="42"/>
        <v>1.5194086116510575</v>
      </c>
    </row>
    <row r="109" spans="1:8" ht="16.5" customHeight="1">
      <c r="A109" s="189" t="s">
        <v>214</v>
      </c>
      <c r="B109" s="190">
        <f>[155]VEÍCULO!$D$20</f>
        <v>322820</v>
      </c>
      <c r="C109" s="165">
        <f t="shared" si="47"/>
        <v>145.10329204048975</v>
      </c>
      <c r="D109" s="166">
        <f t="shared" si="51"/>
        <v>1.1443517449766238</v>
      </c>
      <c r="E109" s="166">
        <f t="shared" si="48"/>
        <v>2.0871545126810442</v>
      </c>
      <c r="F109" s="169">
        <f t="shared" si="49"/>
        <v>0.73769877923959282</v>
      </c>
      <c r="G109" s="170">
        <f t="shared" si="50"/>
        <v>4.6448002406551669</v>
      </c>
      <c r="H109" s="174">
        <f t="shared" si="42"/>
        <v>1.5022179542779257</v>
      </c>
    </row>
    <row r="110" spans="1:8" ht="16.5" customHeight="1">
      <c r="A110" s="189" t="s">
        <v>215</v>
      </c>
      <c r="B110" s="190">
        <f>[156]VEÍCULO!$D$20</f>
        <v>322820</v>
      </c>
      <c r="C110" s="165">
        <f t="shared" si="47"/>
        <v>145.10329204048975</v>
      </c>
      <c r="D110" s="166">
        <f t="shared" si="51"/>
        <v>0</v>
      </c>
      <c r="E110" s="166">
        <f t="shared" si="48"/>
        <v>2.0871545126810442</v>
      </c>
      <c r="F110" s="169">
        <f t="shared" si="49"/>
        <v>0.49810098997571384</v>
      </c>
      <c r="G110" s="170">
        <f t="shared" si="50"/>
        <v>2.9216721503813048</v>
      </c>
      <c r="H110" s="174">
        <f t="shared" si="42"/>
        <v>1.5022179542779257</v>
      </c>
    </row>
    <row r="111" spans="1:8" ht="16.5" customHeight="1">
      <c r="A111" s="189" t="s">
        <v>216</v>
      </c>
      <c r="B111" s="190">
        <f>[157]VEÍCULO!$D$20</f>
        <v>325820</v>
      </c>
      <c r="C111" s="165">
        <f t="shared" si="47"/>
        <v>146.45175209910283</v>
      </c>
      <c r="D111" s="166">
        <f t="shared" si="51"/>
        <v>0.92931045164488246</v>
      </c>
      <c r="E111" s="166">
        <f t="shared" si="48"/>
        <v>3.0358611093542542</v>
      </c>
      <c r="F111" s="169">
        <f t="shared" si="49"/>
        <v>1.6789414554986948</v>
      </c>
      <c r="G111" s="170">
        <f t="shared" si="50"/>
        <v>3.8781340066824876</v>
      </c>
      <c r="H111" s="174">
        <f t="shared" si="42"/>
        <v>1.4883862255232951</v>
      </c>
    </row>
    <row r="112" spans="1:8" ht="16.5" customHeight="1">
      <c r="A112" s="189" t="s">
        <v>217</v>
      </c>
      <c r="B112" s="190">
        <f>[158]VEÍCULO!$D$20</f>
        <v>325820</v>
      </c>
      <c r="C112" s="165">
        <f t="shared" si="47"/>
        <v>146.45175209910283</v>
      </c>
      <c r="D112" s="166">
        <f t="shared" si="51"/>
        <v>0</v>
      </c>
      <c r="E112" s="166">
        <f t="shared" si="48"/>
        <v>3.0358611093542542</v>
      </c>
      <c r="F112" s="169">
        <f t="shared" si="49"/>
        <v>1.6789414554986948</v>
      </c>
      <c r="G112" s="170">
        <f t="shared" si="50"/>
        <v>3.1958992758360338</v>
      </c>
      <c r="H112" s="174">
        <f t="shared" si="42"/>
        <v>1.4883862255232951</v>
      </c>
    </row>
    <row r="113" spans="1:8" ht="16.5" customHeight="1">
      <c r="A113" s="189" t="s">
        <v>218</v>
      </c>
      <c r="B113" s="190">
        <f>[159]VEÍCULO!$D$20</f>
        <v>324820</v>
      </c>
      <c r="C113" s="165">
        <f t="shared" ref="C113:C118" si="52">100*B113/B$8</f>
        <v>146.00226541289848</v>
      </c>
      <c r="D113" s="166">
        <f t="shared" si="51"/>
        <v>-0.3069179301454783</v>
      </c>
      <c r="E113" s="166">
        <f t="shared" ref="E113:E118" si="53">100*(B113/B$106-1)</f>
        <v>2.7196255771298361</v>
      </c>
      <c r="F113" s="169">
        <f t="shared" ref="F113:F118" si="54">(100*(B113/B101-1))</f>
        <v>1.7542760478666652</v>
      </c>
      <c r="G113" s="170">
        <f t="shared" ref="G113:G118" si="55">100*(B113/B89-1)</f>
        <v>2.8791725577836269</v>
      </c>
      <c r="H113" s="174">
        <f t="shared" si="42"/>
        <v>1.4929684132750447</v>
      </c>
    </row>
    <row r="114" spans="1:8" ht="16.5" customHeight="1">
      <c r="A114" s="189" t="s">
        <v>219</v>
      </c>
      <c r="B114" s="190">
        <f>[160]VEÍCULO!$D$20</f>
        <v>323820</v>
      </c>
      <c r="C114" s="165">
        <f t="shared" si="52"/>
        <v>145.55277872669413</v>
      </c>
      <c r="D114" s="166">
        <f t="shared" ref="D114:D119" si="56">100*(B114/B113-1)</f>
        <v>-0.30786281632904089</v>
      </c>
      <c r="E114" s="166">
        <f t="shared" si="53"/>
        <v>2.4033900449054402</v>
      </c>
      <c r="F114" s="169">
        <f t="shared" si="54"/>
        <v>1.1416620440473091</v>
      </c>
      <c r="G114" s="170">
        <f t="shared" si="55"/>
        <v>2.8470157786416594</v>
      </c>
      <c r="H114" s="174">
        <f t="shared" si="42"/>
        <v>1.4975789018590575</v>
      </c>
    </row>
    <row r="115" spans="1:8" ht="16.5" customHeight="1">
      <c r="A115" s="189" t="s">
        <v>220</v>
      </c>
      <c r="B115" s="190">
        <f>[161]VEÍCULO!$D$20</f>
        <v>322820</v>
      </c>
      <c r="C115" s="165">
        <f t="shared" si="52"/>
        <v>145.10329204048975</v>
      </c>
      <c r="D115" s="166">
        <f t="shared" si="56"/>
        <v>-0.30881353838552172</v>
      </c>
      <c r="E115" s="166">
        <f t="shared" si="53"/>
        <v>2.0871545126810442</v>
      </c>
      <c r="F115" s="169">
        <f t="shared" si="54"/>
        <v>0.82932289870716325</v>
      </c>
      <c r="G115" s="170">
        <f t="shared" si="55"/>
        <v>3.7035418926073094</v>
      </c>
      <c r="H115" s="174">
        <f t="shared" si="42"/>
        <v>1.5022179542779257</v>
      </c>
    </row>
    <row r="116" spans="1:8" ht="16.5" customHeight="1">
      <c r="A116" s="189" t="s">
        <v>221</v>
      </c>
      <c r="B116" s="190">
        <f>[162]VEÍCULO!$D$20</f>
        <v>321820</v>
      </c>
      <c r="C116" s="165">
        <f t="shared" si="52"/>
        <v>144.6538053542854</v>
      </c>
      <c r="D116" s="166">
        <f t="shared" si="56"/>
        <v>-0.30977015054829415</v>
      </c>
      <c r="E116" s="166">
        <f t="shared" si="53"/>
        <v>1.7709189804566483</v>
      </c>
      <c r="F116" s="169">
        <f t="shared" si="54"/>
        <v>0.51698375336701741</v>
      </c>
      <c r="G116" s="170">
        <f t="shared" si="55"/>
        <v>1.1946388412330311</v>
      </c>
      <c r="H116" s="174">
        <f t="shared" si="42"/>
        <v>1.5068858368031819</v>
      </c>
    </row>
    <row r="117" spans="1:8" ht="16.5" customHeight="1">
      <c r="A117" s="189" t="s">
        <v>222</v>
      </c>
      <c r="B117" s="190">
        <f>[163]VEÍCULO!$D$20</f>
        <v>323820</v>
      </c>
      <c r="C117" s="165">
        <f t="shared" si="52"/>
        <v>145.55277872669413</v>
      </c>
      <c r="D117" s="166">
        <f t="shared" si="56"/>
        <v>0.62146541544962908</v>
      </c>
      <c r="E117" s="166">
        <f t="shared" si="53"/>
        <v>2.4033900449054402</v>
      </c>
      <c r="F117" s="169">
        <f t="shared" si="54"/>
        <v>2.4033900449054402</v>
      </c>
      <c r="G117" s="170">
        <f t="shared" si="55"/>
        <v>1.823528523920448</v>
      </c>
      <c r="H117" s="174">
        <f t="shared" si="42"/>
        <v>1.4975789018590575</v>
      </c>
    </row>
    <row r="118" spans="1:8" ht="16.5" customHeight="1">
      <c r="A118" s="189" t="s">
        <v>223</v>
      </c>
      <c r="B118" s="190">
        <f>[164]VEÍCULO!$D$20</f>
        <v>323820</v>
      </c>
      <c r="C118" s="165">
        <f t="shared" si="52"/>
        <v>145.55277872669413</v>
      </c>
      <c r="D118" s="166">
        <f t="shared" si="56"/>
        <v>0</v>
      </c>
      <c r="E118" s="166">
        <f t="shared" si="53"/>
        <v>2.4033900449054402</v>
      </c>
      <c r="F118" s="169">
        <f t="shared" si="54"/>
        <v>2.4033900449054402</v>
      </c>
      <c r="G118" s="170">
        <f t="shared" si="55"/>
        <v>1.5680281838575283</v>
      </c>
      <c r="H118" s="174">
        <f t="shared" si="42"/>
        <v>1.4975789018590575</v>
      </c>
    </row>
    <row r="119" spans="1:8" ht="16.5" customHeight="1">
      <c r="A119" s="189" t="s">
        <v>224</v>
      </c>
      <c r="B119" s="190">
        <f>[165]VEÍCULO!$D$20</f>
        <v>324420</v>
      </c>
      <c r="C119" s="165">
        <f t="shared" ref="C119:C124" si="57">100*B119/B$8</f>
        <v>145.82247073841674</v>
      </c>
      <c r="D119" s="166">
        <f t="shared" si="56"/>
        <v>0.18528812303131303</v>
      </c>
      <c r="E119" s="166">
        <f t="shared" ref="E119:E124" si="58">100*(B119/B$118-1)</f>
        <v>0.18528812303131303</v>
      </c>
      <c r="F119" s="169">
        <f t="shared" ref="F119:F124" si="59">(100*(B119/B107-1))</f>
        <v>1.6456557620510459</v>
      </c>
      <c r="G119" s="170">
        <f t="shared" ref="G119:G124" si="60">100*(B119/B95-1)</f>
        <v>2.0586643848544695</v>
      </c>
      <c r="H119" s="174">
        <f t="shared" si="42"/>
        <v>1.4948091979532705</v>
      </c>
    </row>
    <row r="120" spans="1:8" ht="16.5" customHeight="1">
      <c r="A120" s="189" t="s">
        <v>225</v>
      </c>
      <c r="B120" s="190">
        <f>[166]VEÍCULO!$D$20</f>
        <v>325820</v>
      </c>
      <c r="C120" s="165">
        <f t="shared" si="57"/>
        <v>146.45175209910283</v>
      </c>
      <c r="D120" s="166">
        <f t="shared" ref="D120:D125" si="61">100*(B120/B119-1)</f>
        <v>0.43153936255471148</v>
      </c>
      <c r="E120" s="166">
        <f t="shared" si="58"/>
        <v>0.61762707677104345</v>
      </c>
      <c r="F120" s="169">
        <f t="shared" si="59"/>
        <v>2.0842967769911569</v>
      </c>
      <c r="G120" s="170">
        <f t="shared" si="60"/>
        <v>2.4990876945727214</v>
      </c>
      <c r="H120" s="174">
        <f t="shared" si="42"/>
        <v>1.4883862255232951</v>
      </c>
    </row>
    <row r="121" spans="1:8" ht="16.5" customHeight="1">
      <c r="A121" s="189" t="s">
        <v>226</v>
      </c>
      <c r="B121" s="190">
        <f>[167]VEÍCULO!$D$20</f>
        <v>325820</v>
      </c>
      <c r="C121" s="165">
        <f t="shared" si="57"/>
        <v>146.45175209910283</v>
      </c>
      <c r="D121" s="166">
        <f t="shared" si="61"/>
        <v>0</v>
      </c>
      <c r="E121" s="166">
        <f t="shared" si="58"/>
        <v>0.61762707677104345</v>
      </c>
      <c r="F121" s="169">
        <f t="shared" si="59"/>
        <v>0.92931045164488246</v>
      </c>
      <c r="G121" s="170">
        <f t="shared" si="60"/>
        <v>1.6738647427416042</v>
      </c>
      <c r="H121" s="174">
        <f t="shared" si="42"/>
        <v>1.4883862255232951</v>
      </c>
    </row>
    <row r="122" spans="1:8" ht="16.5" customHeight="1">
      <c r="A122" s="189" t="s">
        <v>227</v>
      </c>
      <c r="B122" s="190">
        <f>[168]VEÍCULO!$D$20</f>
        <v>325820</v>
      </c>
      <c r="C122" s="165">
        <f t="shared" si="57"/>
        <v>146.45175209910283</v>
      </c>
      <c r="D122" s="166">
        <f t="shared" si="61"/>
        <v>0</v>
      </c>
      <c r="E122" s="166">
        <f t="shared" si="58"/>
        <v>0.61762707677104345</v>
      </c>
      <c r="F122" s="169">
        <f t="shared" si="59"/>
        <v>0.92931045164488246</v>
      </c>
      <c r="G122" s="170">
        <f t="shared" si="60"/>
        <v>1.4320403461801856</v>
      </c>
      <c r="H122" s="174">
        <f t="shared" si="42"/>
        <v>1.4883862255232951</v>
      </c>
    </row>
    <row r="123" spans="1:8" ht="16.5" customHeight="1">
      <c r="A123" s="189" t="s">
        <v>228</v>
      </c>
      <c r="B123" s="190">
        <f>[169]VEÍCULO!$D$20</f>
        <v>325820</v>
      </c>
      <c r="C123" s="165">
        <f t="shared" si="57"/>
        <v>146.45175209910283</v>
      </c>
      <c r="D123" s="166">
        <f t="shared" si="61"/>
        <v>0</v>
      </c>
      <c r="E123" s="166">
        <f t="shared" si="58"/>
        <v>0.61762707677104345</v>
      </c>
      <c r="F123" s="169">
        <f t="shared" si="59"/>
        <v>0</v>
      </c>
      <c r="G123" s="170">
        <f t="shared" si="60"/>
        <v>1.6789414554986948</v>
      </c>
      <c r="H123" s="174">
        <f t="shared" si="42"/>
        <v>1.4883862255232951</v>
      </c>
    </row>
    <row r="124" spans="1:8" ht="16.5" customHeight="1">
      <c r="A124" s="189" t="s">
        <v>229</v>
      </c>
      <c r="B124" s="190">
        <f>[170]VEÍCULO!$D$20</f>
        <v>325820</v>
      </c>
      <c r="C124" s="165">
        <f t="shared" si="57"/>
        <v>146.45175209910283</v>
      </c>
      <c r="D124" s="166">
        <f t="shared" si="61"/>
        <v>0</v>
      </c>
      <c r="E124" s="166">
        <f t="shared" si="58"/>
        <v>0.61762707677104345</v>
      </c>
      <c r="F124" s="169">
        <f t="shared" si="59"/>
        <v>0</v>
      </c>
      <c r="G124" s="170">
        <f t="shared" si="60"/>
        <v>1.6789414554986948</v>
      </c>
      <c r="H124" s="174">
        <f t="shared" si="42"/>
        <v>1.4883862255232951</v>
      </c>
    </row>
    <row r="125" spans="1:8" ht="16.5" customHeight="1">
      <c r="A125" s="189" t="s">
        <v>230</v>
      </c>
      <c r="B125" s="190">
        <f>[171]VEÍCULO!$D$20</f>
        <v>326620</v>
      </c>
      <c r="C125" s="165">
        <f t="shared" ref="C125:C131" si="62">100*B125/B$8</f>
        <v>146.81134144806632</v>
      </c>
      <c r="D125" s="166">
        <f t="shared" si="61"/>
        <v>0.24553434411638264</v>
      </c>
      <c r="E125" s="166">
        <f t="shared" ref="E125:E130" si="63">100*(B125/B$118-1)</f>
        <v>0.86467790747946083</v>
      </c>
      <c r="F125" s="169">
        <f t="shared" ref="F125:F130" si="64">(100*(B125/B113-1))</f>
        <v>0.55415306939228248</v>
      </c>
      <c r="G125" s="170">
        <f t="shared" ref="G125:G130" si="65">100*(B125/B101-1)</f>
        <v>2.3181504918238227</v>
      </c>
      <c r="H125" s="174">
        <f t="shared" si="42"/>
        <v>1.4847406772396057</v>
      </c>
    </row>
    <row r="126" spans="1:8" ht="16.5" customHeight="1">
      <c r="A126" s="189" t="s">
        <v>231</v>
      </c>
      <c r="B126" s="190">
        <f>[172]VEÍCULO!$D$20</f>
        <v>328920</v>
      </c>
      <c r="C126" s="165">
        <f t="shared" si="62"/>
        <v>147.84516082633633</v>
      </c>
      <c r="D126" s="166">
        <f t="shared" ref="D126:D131" si="66">100*(B126/B125-1)</f>
        <v>0.70418223011450287</v>
      </c>
      <c r="E126" s="166">
        <f t="shared" si="63"/>
        <v>1.5749490457661608</v>
      </c>
      <c r="F126" s="169">
        <f t="shared" si="64"/>
        <v>1.5749490457661608</v>
      </c>
      <c r="G126" s="170">
        <f t="shared" si="65"/>
        <v>2.7345916852820729</v>
      </c>
      <c r="H126" s="174">
        <f t="shared" si="42"/>
        <v>1.4743585066277514</v>
      </c>
    </row>
    <row r="127" spans="1:8" ht="16.5" customHeight="1">
      <c r="A127" s="189" t="s">
        <v>232</v>
      </c>
      <c r="B127" s="190">
        <f>[173]VEÍCULO!$D$20</f>
        <v>329520</v>
      </c>
      <c r="C127" s="165">
        <f t="shared" si="62"/>
        <v>148.11485283805894</v>
      </c>
      <c r="D127" s="166">
        <f t="shared" si="66"/>
        <v>0.18241517694272957</v>
      </c>
      <c r="E127" s="166">
        <f t="shared" si="63"/>
        <v>1.7602371687974738</v>
      </c>
      <c r="F127" s="169">
        <f t="shared" si="64"/>
        <v>2.0754600086735575</v>
      </c>
      <c r="G127" s="170">
        <f t="shared" si="65"/>
        <v>2.9219951724861692</v>
      </c>
      <c r="H127" s="174">
        <f t="shared" si="42"/>
        <v>1.4716739499878611</v>
      </c>
    </row>
    <row r="128" spans="1:8" ht="16.5" customHeight="1">
      <c r="A128" s="189" t="s">
        <v>233</v>
      </c>
      <c r="B128" s="190">
        <f>[174]VEÍCULO!$D$20</f>
        <v>329920</v>
      </c>
      <c r="C128" s="165">
        <f t="shared" si="62"/>
        <v>148.29464751254068</v>
      </c>
      <c r="D128" s="166">
        <f t="shared" si="66"/>
        <v>0.12138868657440849</v>
      </c>
      <c r="E128" s="166">
        <f t="shared" si="63"/>
        <v>1.8837625841516825</v>
      </c>
      <c r="F128" s="169">
        <f t="shared" si="64"/>
        <v>2.5169349325710133</v>
      </c>
      <c r="G128" s="170">
        <f t="shared" si="65"/>
        <v>3.0469308306222409</v>
      </c>
      <c r="H128" s="174">
        <f t="shared" si="42"/>
        <v>1.4698896702230844</v>
      </c>
    </row>
    <row r="129" spans="1:8" ht="16.5" customHeight="1">
      <c r="A129" s="189" t="s">
        <v>234</v>
      </c>
      <c r="B129" s="190">
        <f>[175]VEÍCULO!$D$20</f>
        <v>329920</v>
      </c>
      <c r="C129" s="165">
        <f t="shared" si="62"/>
        <v>148.29464751254068</v>
      </c>
      <c r="D129" s="166">
        <f t="shared" si="66"/>
        <v>0</v>
      </c>
      <c r="E129" s="166">
        <f t="shared" si="63"/>
        <v>1.8837625841516825</v>
      </c>
      <c r="F129" s="169">
        <f t="shared" si="64"/>
        <v>1.8837625841516825</v>
      </c>
      <c r="G129" s="170">
        <f t="shared" si="65"/>
        <v>4.3324267914742975</v>
      </c>
      <c r="H129" s="174">
        <f t="shared" si="42"/>
        <v>1.4698896702230844</v>
      </c>
    </row>
    <row r="130" spans="1:8" ht="16.5" customHeight="1">
      <c r="A130" s="189" t="s">
        <v>235</v>
      </c>
      <c r="B130" s="190">
        <f>[176]VEÍCULO!$D$20</f>
        <v>329920</v>
      </c>
      <c r="C130" s="165">
        <f t="shared" si="62"/>
        <v>148.29464751254068</v>
      </c>
      <c r="D130" s="166">
        <f t="shared" si="66"/>
        <v>0</v>
      </c>
      <c r="E130" s="166">
        <f t="shared" si="63"/>
        <v>1.8837625841516825</v>
      </c>
      <c r="F130" s="169">
        <f t="shared" si="64"/>
        <v>1.8837625841516825</v>
      </c>
      <c r="G130" s="170">
        <f t="shared" si="65"/>
        <v>4.3324267914742975</v>
      </c>
      <c r="H130" s="174">
        <f t="shared" si="42"/>
        <v>1.4698896702230844</v>
      </c>
    </row>
    <row r="131" spans="1:8" ht="16.5" customHeight="1">
      <c r="A131" s="189" t="s">
        <v>236</v>
      </c>
      <c r="B131" s="190">
        <f>[177]VEÍCULO!$D$20</f>
        <v>350826</v>
      </c>
      <c r="C131" s="165">
        <f t="shared" si="62"/>
        <v>157.69161617432891</v>
      </c>
      <c r="D131" s="166">
        <f t="shared" si="66"/>
        <v>6.3366876818622631</v>
      </c>
      <c r="E131" s="166">
        <f t="shared" ref="E131:E136" si="67">100*(B131/B$130-1)</f>
        <v>6.3366876818622631</v>
      </c>
      <c r="F131" s="169">
        <f t="shared" ref="F131:F136" si="68">(100*(B131/B119-1))</f>
        <v>8.1394488625855299</v>
      </c>
      <c r="G131" s="170">
        <f t="shared" ref="G131:G136" si="69">100*(B131/B107-1)</f>
        <v>9.9190519338429262</v>
      </c>
      <c r="H131" s="174">
        <f t="shared" si="42"/>
        <v>1.3822977772457001</v>
      </c>
    </row>
    <row r="132" spans="1:8" ht="16.5" customHeight="1">
      <c r="A132" s="189" t="s">
        <v>237</v>
      </c>
      <c r="B132" s="190">
        <f>[178]VEÍCULO!$D$21</f>
        <v>349898</v>
      </c>
      <c r="C132" s="165">
        <f t="shared" ref="C132:C137" si="70">100*B132/B$8</f>
        <v>157.27449252953127</v>
      </c>
      <c r="D132" s="166">
        <f t="shared" ref="D132:D137" si="71">100*(B132/B131-1)</f>
        <v>-0.26451859326275251</v>
      </c>
      <c r="E132" s="166">
        <f t="shared" si="67"/>
        <v>6.0554073714840007</v>
      </c>
      <c r="F132" s="169">
        <f t="shared" si="68"/>
        <v>7.3899699220428383</v>
      </c>
      <c r="G132" s="170">
        <f t="shared" si="69"/>
        <v>9.6282956039397618</v>
      </c>
      <c r="H132" s="174">
        <f t="shared" si="42"/>
        <v>1.3859639094821921</v>
      </c>
    </row>
    <row r="133" spans="1:8" ht="16.5" customHeight="1">
      <c r="A133" s="189" t="s">
        <v>238</v>
      </c>
      <c r="B133" s="191">
        <f>[179]VEÍCULO!$D$21</f>
        <v>352000</v>
      </c>
      <c r="C133" s="165">
        <f t="shared" si="70"/>
        <v>158.21931354393283</v>
      </c>
      <c r="D133" s="166">
        <f t="shared" si="71"/>
        <v>0.60074650326666923</v>
      </c>
      <c r="E133" s="166">
        <f t="shared" si="67"/>
        <v>6.6925315227934101</v>
      </c>
      <c r="F133" s="169">
        <f t="shared" si="68"/>
        <v>8.0351114112086499</v>
      </c>
      <c r="G133" s="170">
        <f t="shared" si="69"/>
        <v>9.039092992999187</v>
      </c>
      <c r="H133" s="174">
        <f t="shared" si="42"/>
        <v>1.3776875</v>
      </c>
    </row>
    <row r="134" spans="1:8" ht="16.5" customHeight="1">
      <c r="A134" s="189" t="s">
        <v>239</v>
      </c>
      <c r="B134" s="191">
        <f>[180]VEÍCULO!$D$21</f>
        <v>351857</v>
      </c>
      <c r="C134" s="165">
        <f t="shared" si="70"/>
        <v>158.1550369478056</v>
      </c>
      <c r="D134" s="166">
        <f t="shared" si="71"/>
        <v>-4.062500000000524E-2</v>
      </c>
      <c r="E134" s="166">
        <f t="shared" si="67"/>
        <v>6.6491876818622675</v>
      </c>
      <c r="F134" s="169">
        <f t="shared" si="68"/>
        <v>7.9912221471978295</v>
      </c>
      <c r="G134" s="170">
        <f t="shared" si="69"/>
        <v>8.9947958614707844</v>
      </c>
      <c r="H134" s="174">
        <f t="shared" si="42"/>
        <v>1.3782474130115359</v>
      </c>
    </row>
    <row r="135" spans="1:8" ht="16.5" customHeight="1">
      <c r="A135" s="189" t="s">
        <v>240</v>
      </c>
      <c r="B135" s="191">
        <f>[181]VEÍCULO!$D$21</f>
        <v>351857</v>
      </c>
      <c r="C135" s="165">
        <f t="shared" si="70"/>
        <v>158.1550369478056</v>
      </c>
      <c r="D135" s="166">
        <f t="shared" si="71"/>
        <v>0</v>
      </c>
      <c r="E135" s="166">
        <f t="shared" si="67"/>
        <v>6.6491876818622675</v>
      </c>
      <c r="F135" s="169">
        <f t="shared" si="68"/>
        <v>7.9912221471978295</v>
      </c>
      <c r="G135" s="170">
        <f t="shared" si="69"/>
        <v>7.9912221471978295</v>
      </c>
      <c r="H135" s="174">
        <f t="shared" si="42"/>
        <v>1.3782474130115359</v>
      </c>
    </row>
    <row r="136" spans="1:8" ht="16.5" customHeight="1">
      <c r="A136" s="189" t="s">
        <v>241</v>
      </c>
      <c r="B136" s="191">
        <f>[182]VEÍCULO!$D$21</f>
        <v>352000</v>
      </c>
      <c r="C136" s="165">
        <f t="shared" si="70"/>
        <v>158.21931354393283</v>
      </c>
      <c r="D136" s="166">
        <f t="shared" si="71"/>
        <v>4.0641510613692589E-2</v>
      </c>
      <c r="E136" s="166">
        <f t="shared" si="67"/>
        <v>6.6925315227934101</v>
      </c>
      <c r="F136" s="169">
        <f t="shared" si="68"/>
        <v>8.0351114112086499</v>
      </c>
      <c r="G136" s="170">
        <f t="shared" si="69"/>
        <v>8.0351114112086499</v>
      </c>
      <c r="H136" s="174">
        <f t="shared" si="42"/>
        <v>1.3776875</v>
      </c>
    </row>
    <row r="137" spans="1:8" ht="16.5" customHeight="1">
      <c r="A137" s="189" t="s">
        <v>242</v>
      </c>
      <c r="B137" s="191">
        <f>[183]VEÍCULO!$D$21</f>
        <v>349571</v>
      </c>
      <c r="C137" s="165">
        <f t="shared" si="70"/>
        <v>157.12751038314246</v>
      </c>
      <c r="D137" s="166">
        <f t="shared" si="71"/>
        <v>-0.69005681818181674</v>
      </c>
      <c r="E137" s="166">
        <f t="shared" ref="E137:E142" si="72">100*(B137/B$130-1)</f>
        <v>5.9562924345295754</v>
      </c>
      <c r="F137" s="169">
        <f t="shared" ref="F137:F142" si="73">(100*(B137/B125-1))</f>
        <v>7.0268201579817502</v>
      </c>
      <c r="G137" s="170">
        <f t="shared" ref="G137:G142" si="74">100*(B137/B113-1)</f>
        <v>7.619912566960152</v>
      </c>
      <c r="H137" s="174">
        <f t="shared" si="42"/>
        <v>1.3872603848717429</v>
      </c>
    </row>
    <row r="138" spans="1:8" ht="16.5" customHeight="1">
      <c r="A138" s="189" t="s">
        <v>243</v>
      </c>
      <c r="B138" s="191">
        <f>[184]VEÍCULO!$D$21</f>
        <v>348000</v>
      </c>
      <c r="C138" s="165">
        <f t="shared" ref="C138:C143" si="75">100*B138/B$8</f>
        <v>156.42136679911542</v>
      </c>
      <c r="D138" s="166">
        <f t="shared" ref="D138:D143" si="76">100*(B138/B137-1)</f>
        <v>-0.44940798864894216</v>
      </c>
      <c r="E138" s="166">
        <f t="shared" si="72"/>
        <v>5.4801163918525742</v>
      </c>
      <c r="F138" s="169">
        <f t="shared" si="73"/>
        <v>5.8008026267785562</v>
      </c>
      <c r="G138" s="170">
        <f t="shared" si="74"/>
        <v>7.4671113581619375</v>
      </c>
      <c r="H138" s="174">
        <f t="shared" si="42"/>
        <v>1.3935229885057472</v>
      </c>
    </row>
    <row r="139" spans="1:8" ht="16.5" customHeight="1">
      <c r="A139" s="189" t="s">
        <v>244</v>
      </c>
      <c r="B139" s="191">
        <f>[185]VEÍCULO!$D$21</f>
        <v>345540</v>
      </c>
      <c r="C139" s="165">
        <f t="shared" si="75"/>
        <v>155.31562955105269</v>
      </c>
      <c r="D139" s="166">
        <f t="shared" si="76"/>
        <v>-0.70689655172413435</v>
      </c>
      <c r="E139" s="166">
        <f t="shared" si="72"/>
        <v>4.7344810863239495</v>
      </c>
      <c r="F139" s="169">
        <f t="shared" si="73"/>
        <v>4.8616168973051765</v>
      </c>
      <c r="G139" s="170">
        <f t="shared" si="74"/>
        <v>7.0379778204572307</v>
      </c>
      <c r="H139" s="174">
        <f t="shared" si="42"/>
        <v>1.403443884933727</v>
      </c>
    </row>
    <row r="140" spans="1:8" ht="16.5" customHeight="1">
      <c r="A140" s="189" t="s">
        <v>245</v>
      </c>
      <c r="B140" s="191">
        <f>[186]VEÍCULO!$D$21</f>
        <v>348000</v>
      </c>
      <c r="C140" s="165">
        <f t="shared" si="75"/>
        <v>156.42136679911542</v>
      </c>
      <c r="D140" s="166">
        <f t="shared" si="76"/>
        <v>0.71192915436708581</v>
      </c>
      <c r="E140" s="166">
        <f t="shared" si="72"/>
        <v>5.4801163918525742</v>
      </c>
      <c r="F140" s="169">
        <f t="shared" si="73"/>
        <v>5.4801163918525742</v>
      </c>
      <c r="G140" s="170">
        <f t="shared" si="74"/>
        <v>8.1349822882356584</v>
      </c>
      <c r="H140" s="174">
        <f t="shared" si="42"/>
        <v>1.3935229885057472</v>
      </c>
    </row>
    <row r="141" spans="1:8" ht="16.5" customHeight="1">
      <c r="A141" s="189" t="s">
        <v>246</v>
      </c>
      <c r="B141" s="191">
        <f>[187]VEÍCULO!$D$21</f>
        <v>348333</v>
      </c>
      <c r="C141" s="165">
        <f t="shared" si="75"/>
        <v>156.57104586562147</v>
      </c>
      <c r="D141" s="166">
        <f t="shared" si="76"/>
        <v>9.5689655172415122E-2</v>
      </c>
      <c r="E141" s="166">
        <f t="shared" si="72"/>
        <v>5.5810499515033918</v>
      </c>
      <c r="F141" s="169">
        <f t="shared" si="73"/>
        <v>5.5810499515033918</v>
      </c>
      <c r="G141" s="170">
        <f t="shared" si="74"/>
        <v>7.5699462664443162</v>
      </c>
      <c r="H141" s="174">
        <f t="shared" si="42"/>
        <v>1.3921908059242163</v>
      </c>
    </row>
    <row r="142" spans="1:8" ht="16.5" customHeight="1">
      <c r="A142" s="189" t="s">
        <v>247</v>
      </c>
      <c r="B142" s="191">
        <f>[188]VEÍCULO!$D$21</f>
        <v>346000</v>
      </c>
      <c r="C142" s="165">
        <f t="shared" si="75"/>
        <v>155.52239342670671</v>
      </c>
      <c r="D142" s="166">
        <f t="shared" si="76"/>
        <v>-0.6697614064702484</v>
      </c>
      <c r="E142" s="166">
        <f t="shared" si="72"/>
        <v>4.8739088263821451</v>
      </c>
      <c r="F142" s="169">
        <f t="shared" si="73"/>
        <v>4.8739088263821451</v>
      </c>
      <c r="G142" s="170">
        <f t="shared" si="74"/>
        <v>6.849484281390894</v>
      </c>
      <c r="H142" s="174">
        <f t="shared" si="42"/>
        <v>1.401578034682081</v>
      </c>
    </row>
    <row r="143" spans="1:8" ht="16.5" customHeight="1">
      <c r="A143" s="189" t="s">
        <v>248</v>
      </c>
      <c r="B143" s="191">
        <f>[189]VEÍCULO!$D$21</f>
        <v>346000</v>
      </c>
      <c r="C143" s="165">
        <f t="shared" si="75"/>
        <v>155.52239342670671</v>
      </c>
      <c r="D143" s="166">
        <f t="shared" si="76"/>
        <v>0</v>
      </c>
      <c r="E143" s="166">
        <f t="shared" ref="E143:E148" si="77">100*(B143/B$142-1)</f>
        <v>0</v>
      </c>
      <c r="F143" s="169">
        <f t="shared" ref="F143:F148" si="78">(100*(B143/B131-1))</f>
        <v>-1.3756107016013597</v>
      </c>
      <c r="G143" s="170">
        <f t="shared" ref="G143:G148" si="79">100*(B143/B119-1)</f>
        <v>6.6518710313790752</v>
      </c>
      <c r="H143" s="174">
        <f t="shared" si="42"/>
        <v>1.401578034682081</v>
      </c>
    </row>
    <row r="144" spans="1:8" ht="16.5" customHeight="1">
      <c r="A144" s="163" t="s">
        <v>249</v>
      </c>
      <c r="B144" s="191">
        <f>[190]VEÍCULO!$D$21</f>
        <v>351800</v>
      </c>
      <c r="C144" s="165">
        <f t="shared" ref="C144:C150" si="80">100*B144/B$8</f>
        <v>158.12941620669196</v>
      </c>
      <c r="D144" s="166">
        <f t="shared" ref="D144:D149" si="81">100*(B144/B143-1)</f>
        <v>1.6763005780346729</v>
      </c>
      <c r="E144" s="166">
        <f t="shared" si="77"/>
        <v>1.6763005780346729</v>
      </c>
      <c r="F144" s="169">
        <f t="shared" si="78"/>
        <v>0.54358698820800022</v>
      </c>
      <c r="G144" s="170">
        <f t="shared" si="79"/>
        <v>7.9737278251795551</v>
      </c>
      <c r="H144" s="174">
        <f t="shared" si="42"/>
        <v>1.378470722001137</v>
      </c>
    </row>
    <row r="145" spans="1:8" ht="16.5" customHeight="1">
      <c r="A145" s="163" t="s">
        <v>250</v>
      </c>
      <c r="B145" s="191">
        <f>[191]VEÍCULO!$D$21</f>
        <v>354161</v>
      </c>
      <c r="C145" s="165">
        <f t="shared" si="80"/>
        <v>159.19065427282044</v>
      </c>
      <c r="D145" s="166">
        <f t="shared" si="81"/>
        <v>0.6711199545196056</v>
      </c>
      <c r="E145" s="166">
        <f t="shared" si="77"/>
        <v>2.3586705202312208</v>
      </c>
      <c r="F145" s="169">
        <f t="shared" si="78"/>
        <v>0.61392045454544686</v>
      </c>
      <c r="G145" s="170">
        <f t="shared" si="79"/>
        <v>8.6983610582530133</v>
      </c>
      <c r="H145" s="174">
        <f t="shared" si="42"/>
        <v>1.369281202616889</v>
      </c>
    </row>
    <row r="146" spans="1:8" ht="16.5" customHeight="1">
      <c r="A146" s="163" t="s">
        <v>252</v>
      </c>
      <c r="B146" s="191">
        <f>[192]VEÍCULO!$D$21</f>
        <v>350500</v>
      </c>
      <c r="C146" s="165">
        <f t="shared" si="80"/>
        <v>157.5450835146263</v>
      </c>
      <c r="D146" s="166">
        <f t="shared" si="81"/>
        <v>-1.0337106570175725</v>
      </c>
      <c r="E146" s="166">
        <f t="shared" si="77"/>
        <v>1.3005780346820872</v>
      </c>
      <c r="F146" s="169">
        <f t="shared" si="78"/>
        <v>-0.38566804127813104</v>
      </c>
      <c r="G146" s="170">
        <f t="shared" si="79"/>
        <v>7.5747345159904222</v>
      </c>
      <c r="H146" s="174">
        <f t="shared" si="42"/>
        <v>1.383583452211127</v>
      </c>
    </row>
    <row r="147" spans="1:8" ht="16.5" customHeight="1">
      <c r="A147" s="163" t="s">
        <v>253</v>
      </c>
      <c r="B147" s="191">
        <f>[193]VEÍCULO!$D$21</f>
        <v>352287</v>
      </c>
      <c r="C147" s="165">
        <f t="shared" si="80"/>
        <v>158.34831622287348</v>
      </c>
      <c r="D147" s="166">
        <f t="shared" si="81"/>
        <v>0.50984308131241107</v>
      </c>
      <c r="E147" s="166">
        <f t="shared" si="77"/>
        <v>1.8170520231213905</v>
      </c>
      <c r="F147" s="169">
        <f t="shared" si="78"/>
        <v>0.12220873820898426</v>
      </c>
      <c r="G147" s="170">
        <f t="shared" si="79"/>
        <v>8.1231968571603872</v>
      </c>
      <c r="H147" s="174">
        <f t="shared" si="42"/>
        <v>1.3765651301353725</v>
      </c>
    </row>
    <row r="148" spans="1:8" ht="16.5" customHeight="1">
      <c r="A148" s="163" t="s">
        <v>254</v>
      </c>
      <c r="B148" s="191">
        <f>[194]VEÍCULO!$D$21</f>
        <v>348535</v>
      </c>
      <c r="C148" s="165">
        <f t="shared" si="80"/>
        <v>156.66184217623473</v>
      </c>
      <c r="D148" s="166">
        <f t="shared" si="81"/>
        <v>-1.0650407196405198</v>
      </c>
      <c r="E148" s="166">
        <f t="shared" si="77"/>
        <v>0.73265895953757987</v>
      </c>
      <c r="F148" s="169">
        <f t="shared" si="78"/>
        <v>-0.984375000000004</v>
      </c>
      <c r="G148" s="170">
        <f t="shared" si="79"/>
        <v>6.9716407832545624</v>
      </c>
      <c r="H148" s="174">
        <f t="shared" si="42"/>
        <v>1.3913839356162221</v>
      </c>
    </row>
    <row r="149" spans="1:8" ht="16.5" customHeight="1">
      <c r="A149" s="163" t="s">
        <v>255</v>
      </c>
      <c r="B149" s="191">
        <f>[195]VEÍCULO!$D$21</f>
        <v>348500</v>
      </c>
      <c r="C149" s="165">
        <f t="shared" si="80"/>
        <v>156.64611014221759</v>
      </c>
      <c r="D149" s="166">
        <f t="shared" si="81"/>
        <v>-1.0042033081325563E-2</v>
      </c>
      <c r="E149" s="166">
        <f t="shared" ref="E149:E154" si="82">100*(B149/B$142-1)</f>
        <v>0.7225433526011571</v>
      </c>
      <c r="F149" s="169">
        <f t="shared" ref="F149:F154" si="83">(100*(B149/B137-1))</f>
        <v>-0.30637552886252362</v>
      </c>
      <c r="G149" s="170">
        <f t="shared" ref="G149:G154" si="84">100*(B149/B125-1)</f>
        <v>6.6989161716979995</v>
      </c>
      <c r="H149" s="174">
        <f t="shared" si="42"/>
        <v>1.3915236728837876</v>
      </c>
    </row>
    <row r="150" spans="1:8" ht="16.5" customHeight="1">
      <c r="A150" s="163" t="str">
        <f>Motorista!A150</f>
        <v>AGOSTO|15</v>
      </c>
      <c r="B150" s="191">
        <f>[196]VEÍCULO!$D$21</f>
        <v>350268</v>
      </c>
      <c r="C150" s="165">
        <f t="shared" si="80"/>
        <v>157.44080260342687</v>
      </c>
      <c r="D150" s="166">
        <f t="shared" ref="D150:D155" si="85">100*(B150/B149-1)</f>
        <v>0.50731707317073216</v>
      </c>
      <c r="E150" s="166">
        <f t="shared" si="82"/>
        <v>1.2335260115607039</v>
      </c>
      <c r="F150" s="169">
        <f t="shared" si="83"/>
        <v>0.65172413793104234</v>
      </c>
      <c r="G150" s="170">
        <f t="shared" si="84"/>
        <v>6.490331995622034</v>
      </c>
      <c r="H150" s="174">
        <f t="shared" si="42"/>
        <v>1.3844998686719883</v>
      </c>
    </row>
    <row r="151" spans="1:8" ht="16.5" customHeight="1">
      <c r="A151" s="163" t="str">
        <f>Motorista!A151</f>
        <v>SETEMBRO|15</v>
      </c>
      <c r="B151" s="191">
        <f>[197]VEÍCULO!$D$21</f>
        <v>350217</v>
      </c>
      <c r="C151" s="165">
        <f t="shared" ref="C151:C157" si="86">100*B151/B$8</f>
        <v>157.41787878243048</v>
      </c>
      <c r="D151" s="166">
        <f t="shared" si="85"/>
        <v>-1.4560279557362943E-2</v>
      </c>
      <c r="E151" s="166">
        <f t="shared" si="82"/>
        <v>1.218786127167637</v>
      </c>
      <c r="F151" s="169">
        <f t="shared" si="83"/>
        <v>1.3535335995832565</v>
      </c>
      <c r="G151" s="170">
        <f t="shared" si="84"/>
        <v>6.2809541150764758</v>
      </c>
      <c r="H151" s="174">
        <f t="shared" si="42"/>
        <v>1.3847014850792509</v>
      </c>
    </row>
    <row r="152" spans="1:8" ht="16.5" customHeight="1">
      <c r="A152" s="163" t="str">
        <f>Motorista!A152</f>
        <v>OUTUBRO|15</v>
      </c>
      <c r="B152" s="191">
        <f>[198]VEÍCULO!$D$21</f>
        <v>350217</v>
      </c>
      <c r="C152" s="165">
        <f t="shared" si="86"/>
        <v>157.41787878243048</v>
      </c>
      <c r="D152" s="166">
        <f t="shared" si="85"/>
        <v>0</v>
      </c>
      <c r="E152" s="166">
        <f t="shared" si="82"/>
        <v>1.218786127167637</v>
      </c>
      <c r="F152" s="169">
        <f t="shared" si="83"/>
        <v>0.63706896551725123</v>
      </c>
      <c r="G152" s="170">
        <f t="shared" si="84"/>
        <v>6.1520974781765325</v>
      </c>
      <c r="H152" s="174">
        <f t="shared" si="42"/>
        <v>1.3847014850792509</v>
      </c>
    </row>
    <row r="153" spans="1:8" ht="16.5" customHeight="1">
      <c r="A153" s="163" t="str">
        <f>Motorista!A153</f>
        <v>NOVEMBRO|15</v>
      </c>
      <c r="B153" s="191">
        <f>[199]VEÍCULO!$D$21</f>
        <v>353501</v>
      </c>
      <c r="C153" s="165">
        <f t="shared" si="86"/>
        <v>158.89399305992558</v>
      </c>
      <c r="D153" s="166">
        <f t="shared" si="85"/>
        <v>0.93770433759641225</v>
      </c>
      <c r="E153" s="166">
        <f t="shared" si="82"/>
        <v>2.1679190751445088</v>
      </c>
      <c r="F153" s="169">
        <f t="shared" si="83"/>
        <v>1.4836377833854497</v>
      </c>
      <c r="G153" s="170">
        <f t="shared" si="84"/>
        <v>7.1474903006789603</v>
      </c>
      <c r="H153" s="174">
        <f t="shared" si="42"/>
        <v>1.3718377034294105</v>
      </c>
    </row>
    <row r="154" spans="1:8" ht="16.5" customHeight="1">
      <c r="A154" s="163" t="str">
        <f>Motorista!A154</f>
        <v>DEZEMBRO|15</v>
      </c>
      <c r="B154" s="191">
        <f>[200]VEÍCULO!$D$21</f>
        <v>355301</v>
      </c>
      <c r="C154" s="165">
        <f t="shared" si="86"/>
        <v>159.70306909509341</v>
      </c>
      <c r="D154" s="166">
        <f t="shared" si="85"/>
        <v>0.50919233608957004</v>
      </c>
      <c r="E154" s="166">
        <f t="shared" si="82"/>
        <v>2.6881502890173437</v>
      </c>
      <c r="F154" s="169">
        <f t="shared" si="83"/>
        <v>2.6881502890173437</v>
      </c>
      <c r="G154" s="170">
        <f t="shared" si="84"/>
        <v>7.6930771096023198</v>
      </c>
      <c r="H154" s="174">
        <f t="shared" si="42"/>
        <v>1.3648877993588535</v>
      </c>
    </row>
    <row r="155" spans="1:8" ht="16.5" customHeight="1">
      <c r="A155" s="163" t="str">
        <f>Motorista!A155</f>
        <v>JANEIRO|16</v>
      </c>
      <c r="B155" s="191">
        <f>[201]VEÍCULO!$D$21</f>
        <v>351537</v>
      </c>
      <c r="C155" s="165">
        <f t="shared" si="86"/>
        <v>158.0112012082202</v>
      </c>
      <c r="D155" s="166">
        <f t="shared" si="85"/>
        <v>-1.0593834523404122</v>
      </c>
      <c r="E155" s="166">
        <f t="shared" ref="E155:E160" si="87">100*(B155/B$154-1)</f>
        <v>-1.0593834523404122</v>
      </c>
      <c r="F155" s="169">
        <f t="shared" ref="F155:F160" si="88">(100*(B155/B143-1))</f>
        <v>1.6002890173410389</v>
      </c>
      <c r="G155" s="170">
        <f t="shared" ref="G155:G160" si="89">100*(B155/B131-1)</f>
        <v>0.20266456876059102</v>
      </c>
      <c r="H155" s="174">
        <f t="shared" si="42"/>
        <v>1.3795020154350752</v>
      </c>
    </row>
    <row r="156" spans="1:8" ht="16.5" customHeight="1">
      <c r="A156" s="163" t="str">
        <f>Motorista!A156</f>
        <v>FEVEREIRO|16</v>
      </c>
      <c r="B156" s="191">
        <f>[202]VEÍCULO!$D$21</f>
        <v>351980</v>
      </c>
      <c r="C156" s="165">
        <f t="shared" si="86"/>
        <v>158.21032381020873</v>
      </c>
      <c r="D156" s="166">
        <f t="shared" ref="D156:D161" si="90">100*(B156/B155-1)</f>
        <v>0.12601802939662399</v>
      </c>
      <c r="E156" s="166">
        <f t="shared" si="87"/>
        <v>-0.93470043709418249</v>
      </c>
      <c r="F156" s="169">
        <f t="shared" si="88"/>
        <v>5.1165434906197405E-2</v>
      </c>
      <c r="G156" s="170">
        <f t="shared" si="89"/>
        <v>0.59503055176080011</v>
      </c>
      <c r="H156" s="174">
        <f t="shared" si="42"/>
        <v>1.3777657821467129</v>
      </c>
    </row>
    <row r="157" spans="1:8" ht="16.5" customHeight="1">
      <c r="A157" s="163" t="str">
        <f>Motorista!A157</f>
        <v>MARÇO|16</v>
      </c>
      <c r="B157" s="191">
        <f>[203]VEÍCULO!$D$21</f>
        <v>351980</v>
      </c>
      <c r="C157" s="165">
        <f t="shared" si="86"/>
        <v>158.21032381020873</v>
      </c>
      <c r="D157" s="166">
        <f t="shared" si="90"/>
        <v>0</v>
      </c>
      <c r="E157" s="166">
        <f t="shared" si="87"/>
        <v>-0.93470043709418249</v>
      </c>
      <c r="F157" s="169">
        <f t="shared" si="88"/>
        <v>-0.61582161785176392</v>
      </c>
      <c r="G157" s="170">
        <f t="shared" si="89"/>
        <v>-5.6818181818130142E-3</v>
      </c>
      <c r="H157" s="174">
        <f t="shared" si="42"/>
        <v>1.3777657821467129</v>
      </c>
    </row>
    <row r="158" spans="1:8" ht="16.5" customHeight="1">
      <c r="A158" s="163" t="str">
        <f>Motorista!A158</f>
        <v>ABRIL|16</v>
      </c>
      <c r="B158" s="191">
        <f>[204]VEÍCULO!$D$21</f>
        <v>347413</v>
      </c>
      <c r="C158" s="165">
        <f t="shared" ref="C158:C164" si="91">100*B158/B$8</f>
        <v>156.15751811431346</v>
      </c>
      <c r="D158" s="166">
        <f t="shared" si="90"/>
        <v>-1.2975169043695667</v>
      </c>
      <c r="E158" s="166">
        <f t="shared" si="87"/>
        <v>-2.2200894452872322</v>
      </c>
      <c r="F158" s="169">
        <f t="shared" si="88"/>
        <v>-0.88074179743223846</v>
      </c>
      <c r="G158" s="170">
        <f t="shared" si="89"/>
        <v>-1.2630130990714972</v>
      </c>
      <c r="H158" s="174">
        <f t="shared" si="42"/>
        <v>1.3958775290504386</v>
      </c>
    </row>
    <row r="159" spans="1:8" ht="16.5" customHeight="1">
      <c r="A159" s="163" t="str">
        <f>Motorista!A159</f>
        <v>MAIO|16</v>
      </c>
      <c r="B159" s="191">
        <f>[205]VEÍCULO!$D$21</f>
        <v>347716</v>
      </c>
      <c r="C159" s="165">
        <f t="shared" si="91"/>
        <v>156.29371258023338</v>
      </c>
      <c r="D159" s="166">
        <f t="shared" si="90"/>
        <v>8.7216079996998985E-2</v>
      </c>
      <c r="E159" s="166">
        <f t="shared" si="87"/>
        <v>-2.1348096402768357</v>
      </c>
      <c r="F159" s="169">
        <f t="shared" si="88"/>
        <v>-1.2975216229948905</v>
      </c>
      <c r="G159" s="170">
        <f t="shared" si="89"/>
        <v>-1.1768985695893464</v>
      </c>
      <c r="H159" s="174">
        <f t="shared" si="42"/>
        <v>1.3946611602572214</v>
      </c>
    </row>
    <row r="160" spans="1:8" ht="16.5" customHeight="1">
      <c r="A160" s="163" t="str">
        <f>Motorista!A160</f>
        <v>JUNHO|16</v>
      </c>
      <c r="B160" s="191">
        <f>[206]VEÍCULO!$D$21</f>
        <v>350750</v>
      </c>
      <c r="C160" s="165">
        <f t="shared" si="91"/>
        <v>157.65745518617737</v>
      </c>
      <c r="D160" s="166">
        <f t="shared" si="90"/>
        <v>0.87255116244291386</v>
      </c>
      <c r="E160" s="166">
        <f t="shared" si="87"/>
        <v>-1.280885784166097</v>
      </c>
      <c r="F160" s="169">
        <f t="shared" si="88"/>
        <v>0.63551723643249236</v>
      </c>
      <c r="G160" s="170">
        <f t="shared" si="89"/>
        <v>-0.35511363636363535</v>
      </c>
      <c r="H160" s="174">
        <f t="shared" si="42"/>
        <v>1.3825972915181752</v>
      </c>
    </row>
    <row r="161" spans="1:8" ht="16.5" customHeight="1">
      <c r="A161" s="163" t="str">
        <f>Motorista!A161</f>
        <v>JULHO|16</v>
      </c>
      <c r="B161" s="191">
        <f>[207]VEÍCULO!$D$21</f>
        <v>352822</v>
      </c>
      <c r="C161" s="165">
        <f t="shared" si="91"/>
        <v>158.58879159999282</v>
      </c>
      <c r="D161" s="166">
        <f t="shared" si="90"/>
        <v>0.59073414112615907</v>
      </c>
      <c r="E161" s="166">
        <f t="shared" ref="E161" si="92">100*(B161/B$154-1)</f>
        <v>-0.69771827267584019</v>
      </c>
      <c r="F161" s="169">
        <f t="shared" ref="F161" si="93">(100*(B161/B149-1))</f>
        <v>1.2401721664275556</v>
      </c>
      <c r="G161" s="170">
        <f t="shared" ref="G161" si="94">100*(B161/B137-1)</f>
        <v>0.92999705353131734</v>
      </c>
      <c r="H161" s="174">
        <f t="shared" ref="H161:H211" si="95">+B$211/B161</f>
        <v>1.3744777819977212</v>
      </c>
    </row>
    <row r="162" spans="1:8" ht="16.5" customHeight="1">
      <c r="A162" s="163" t="str">
        <f>Motorista!A162</f>
        <v>AGOSTO|16</v>
      </c>
      <c r="B162" s="191">
        <f>[208]VEÍCULO!$D$21</f>
        <v>352822</v>
      </c>
      <c r="C162" s="165">
        <f t="shared" si="91"/>
        <v>158.58879159999282</v>
      </c>
      <c r="D162" s="166">
        <f t="shared" ref="D162" si="96">100*(B162/B161-1)</f>
        <v>0</v>
      </c>
      <c r="E162" s="166">
        <f t="shared" ref="E162" si="97">100*(B162/B$154-1)</f>
        <v>-0.69771827267584019</v>
      </c>
      <c r="F162" s="169">
        <f t="shared" ref="F162" si="98">(100*(B162/B150-1))</f>
        <v>0.72915596057876453</v>
      </c>
      <c r="G162" s="170">
        <f t="shared" ref="G162" si="99">100*(B162/B138-1)</f>
        <v>1.3856321839080366</v>
      </c>
      <c r="H162" s="174">
        <f t="shared" si="95"/>
        <v>1.3744777819977212</v>
      </c>
    </row>
    <row r="163" spans="1:8" ht="16.5" customHeight="1">
      <c r="A163" s="163" t="str">
        <f>Motorista!A163</f>
        <v>SETEMBRO|16</v>
      </c>
      <c r="B163" s="191">
        <f>[209]VEÍCULO!$D$21</f>
        <v>345430</v>
      </c>
      <c r="C163" s="165">
        <f t="shared" si="91"/>
        <v>155.26618601557021</v>
      </c>
      <c r="D163" s="166">
        <f t="shared" ref="D163" si="100">100*(B163/B162-1)</f>
        <v>-2.0951074479482523</v>
      </c>
      <c r="E163" s="166">
        <f t="shared" ref="E163" si="101">100*(B163/B$154-1)</f>
        <v>-2.7782077731275723</v>
      </c>
      <c r="F163" s="169">
        <f t="shared" ref="F163" si="102">(100*(B163/B151-1))</f>
        <v>-1.366866828280755</v>
      </c>
      <c r="G163" s="170">
        <f t="shared" ref="G163" si="103">100*(B163/B139-1)</f>
        <v>-3.183423047983247E-2</v>
      </c>
      <c r="H163" s="174">
        <f t="shared" si="95"/>
        <v>1.4038908027675652</v>
      </c>
    </row>
    <row r="164" spans="1:8" ht="16.5" customHeight="1">
      <c r="A164" s="163" t="str">
        <f>Motorista!A164</f>
        <v>OUTUBRO|16</v>
      </c>
      <c r="B164" s="191">
        <f>[210]VEÍCULO!$D$21</f>
        <v>345441</v>
      </c>
      <c r="C164" s="165">
        <f t="shared" si="91"/>
        <v>155.27113036911845</v>
      </c>
      <c r="D164" s="166">
        <f t="shared" ref="D164" si="104">100*(B164/B163-1)</f>
        <v>3.1844367889277692E-3</v>
      </c>
      <c r="E164" s="166">
        <f t="shared" ref="E164" si="105">100*(B164/B$154-1)</f>
        <v>-2.775111806609043</v>
      </c>
      <c r="F164" s="169">
        <f t="shared" ref="F164" si="106">(100*(B164/B152-1))</f>
        <v>-1.3637259185019568</v>
      </c>
      <c r="G164" s="170">
        <f t="shared" ref="G164" si="107">100*(B164/B140-1)</f>
        <v>-0.73534482758620401</v>
      </c>
      <c r="H164" s="174">
        <f t="shared" si="95"/>
        <v>1.4038460981759548</v>
      </c>
    </row>
    <row r="165" spans="1:8" ht="16.5" customHeight="1">
      <c r="A165" s="163" t="str">
        <f>Motorista!A165</f>
        <v>NOVEMBRO|16</v>
      </c>
      <c r="B165" s="191">
        <f>[211]VEÍCULO!$D$21</f>
        <v>348402</v>
      </c>
      <c r="C165" s="165">
        <f t="shared" ref="C165" si="108">100*B165/B$8</f>
        <v>156.60206044696957</v>
      </c>
      <c r="D165" s="166">
        <f t="shared" ref="D165" si="109">100*(B165/B164-1)</f>
        <v>0.85716518884555448</v>
      </c>
      <c r="E165" s="166">
        <f t="shared" ref="E165" si="110">100*(B165/B$154-1)</f>
        <v>-1.9417339101212794</v>
      </c>
      <c r="F165" s="169">
        <f t="shared" ref="F165" si="111">(100*(B165/B153-1))</f>
        <v>-1.4424287342892916</v>
      </c>
      <c r="G165" s="170">
        <f t="shared" ref="G165" si="112">100*(B165/B141-1)</f>
        <v>1.9808631395812348E-2</v>
      </c>
      <c r="H165" s="174">
        <f t="shared" si="95"/>
        <v>1.3919150865953698</v>
      </c>
    </row>
    <row r="166" spans="1:8" ht="16.5" customHeight="1">
      <c r="A166" s="163" t="str">
        <f>Motorista!A166</f>
        <v>DEZEMBRO|16</v>
      </c>
      <c r="B166" s="191">
        <f>[212]VEÍCULO!$D$21</f>
        <v>353000</v>
      </c>
      <c r="C166" s="165">
        <f t="shared" ref="C166" si="113">100*B166/B$8</f>
        <v>158.66880023013718</v>
      </c>
      <c r="D166" s="166">
        <f t="shared" ref="D166" si="114">100*(B166/B165-1)</f>
        <v>1.3197398407586602</v>
      </c>
      <c r="E166" s="166">
        <f t="shared" ref="E166" si="115">100*(B166/B$154-1)</f>
        <v>-0.64761990537600678</v>
      </c>
      <c r="F166" s="169">
        <f t="shared" ref="F166" si="116">(100*(B166/B154-1))</f>
        <v>-0.64761990537600678</v>
      </c>
      <c r="G166" s="170">
        <f t="shared" ref="G166" si="117">100*(B166/B142-1)</f>
        <v>2.0231213872832443</v>
      </c>
      <c r="H166" s="174">
        <f t="shared" si="95"/>
        <v>1.3737847025495751</v>
      </c>
    </row>
    <row r="167" spans="1:8" ht="16.5" customHeight="1">
      <c r="A167" s="163" t="str">
        <f>Motorista!A167</f>
        <v>JANEIRO|17</v>
      </c>
      <c r="B167" s="191">
        <f>[213]VEÍCULO!$D$21</f>
        <v>363473</v>
      </c>
      <c r="C167" s="165">
        <f t="shared" ref="C167" si="118">100*B167/B$8</f>
        <v>163.37627429475538</v>
      </c>
      <c r="D167" s="166">
        <f t="shared" ref="D167" si="119">100*(B167/B166-1)</f>
        <v>2.9668555240793149</v>
      </c>
      <c r="E167" s="166">
        <f t="shared" ref="E167:E172" si="120">100*(B167/B$166-1)</f>
        <v>2.9668555240793149</v>
      </c>
      <c r="F167" s="169">
        <f t="shared" ref="F167" si="121">(100*(B167/B155-1))</f>
        <v>3.3953751667676446</v>
      </c>
      <c r="G167" s="170">
        <f t="shared" ref="G167" si="122">100*(B167/B143-1)</f>
        <v>5.0499999999999989</v>
      </c>
      <c r="H167" s="174">
        <f t="shared" si="95"/>
        <v>1.33420088974972</v>
      </c>
    </row>
    <row r="168" spans="1:8" ht="16.5" customHeight="1">
      <c r="A168" s="163" t="str">
        <f>Motorista!A168</f>
        <v>FEVEREIRO|17</v>
      </c>
      <c r="B168" s="191">
        <f>[214]VEÍCULO!$D$21</f>
        <v>360698</v>
      </c>
      <c r="C168" s="165">
        <f t="shared" ref="C168" si="123">100*B168/B$8</f>
        <v>162.12894874053831</v>
      </c>
      <c r="D168" s="166">
        <f t="shared" ref="D168" si="124">100*(B168/B167-1)</f>
        <v>-0.7634679879936046</v>
      </c>
      <c r="E168" s="166">
        <f t="shared" si="120"/>
        <v>2.1807365439093562</v>
      </c>
      <c r="F168" s="169">
        <f t="shared" ref="F168" si="125">(100*(B168/B156-1))</f>
        <v>2.4768452752997439</v>
      </c>
      <c r="G168" s="170">
        <f t="shared" ref="G168" si="126">100*(B168/B144-1)</f>
        <v>2.5292779988629999</v>
      </c>
      <c r="H168" s="174">
        <f t="shared" si="95"/>
        <v>1.3444654530937239</v>
      </c>
    </row>
    <row r="169" spans="1:8" ht="16.5" customHeight="1">
      <c r="A169" s="163" t="str">
        <f>Motorista!A169</f>
        <v>MARÇO|17</v>
      </c>
      <c r="B169" s="191">
        <f>[215]VEÍCULO!$D$21</f>
        <v>359666</v>
      </c>
      <c r="C169" s="165">
        <f t="shared" ref="C169" si="127">100*B169/B$8</f>
        <v>161.6650784803754</v>
      </c>
      <c r="D169" s="166">
        <f t="shared" ref="D169" si="128">100*(B169/B168-1)</f>
        <v>-0.28611192742959979</v>
      </c>
      <c r="E169" s="166">
        <f t="shared" si="120"/>
        <v>1.8883852691218062</v>
      </c>
      <c r="F169" s="169">
        <f t="shared" ref="F169" si="129">(100*(B169/B157-1))</f>
        <v>2.1836467981135366</v>
      </c>
      <c r="G169" s="170">
        <f t="shared" ref="G169" si="130">100*(B169/B145-1)</f>
        <v>1.5543778112214524</v>
      </c>
      <c r="H169" s="174">
        <f t="shared" si="95"/>
        <v>1.3483231664933577</v>
      </c>
    </row>
    <row r="170" spans="1:8" ht="16.5" customHeight="1">
      <c r="A170" s="163" t="str">
        <f>Motorista!A170</f>
        <v>ABRIL|17</v>
      </c>
      <c r="B170" s="191">
        <f>[216]VEÍCULO!$D$21</f>
        <v>355750</v>
      </c>
      <c r="C170" s="165">
        <f t="shared" ref="C170" si="131">100*B170/B$8</f>
        <v>159.90488861719916</v>
      </c>
      <c r="D170" s="166">
        <f t="shared" ref="D170" si="132">100*(B170/B169-1)</f>
        <v>-1.0887879310248927</v>
      </c>
      <c r="E170" s="166">
        <f t="shared" si="120"/>
        <v>0.7790368271954673</v>
      </c>
      <c r="F170" s="169">
        <f t="shared" ref="F170" si="133">(100*(B170/B158-1))</f>
        <v>2.3997374882344547</v>
      </c>
      <c r="G170" s="170">
        <f t="shared" ref="G170" si="134">100*(B170/B146-1)</f>
        <v>1.4978601997146956</v>
      </c>
      <c r="H170" s="174">
        <f t="shared" si="95"/>
        <v>1.3631651440618411</v>
      </c>
    </row>
    <row r="171" spans="1:8" ht="16.5" customHeight="1">
      <c r="A171" s="163" t="str">
        <f>Motorista!A171</f>
        <v>MAIO|17</v>
      </c>
      <c r="B171" s="191">
        <f>[217]VEÍCULO!$D$21</f>
        <v>354166</v>
      </c>
      <c r="C171" s="165">
        <f t="shared" ref="C171" si="135">100*B171/B$8</f>
        <v>159.19290170625146</v>
      </c>
      <c r="D171" s="166">
        <f t="shared" ref="D171" si="136">100*(B171/B170-1)</f>
        <v>-0.44525650035136533</v>
      </c>
      <c r="E171" s="166">
        <f t="shared" si="120"/>
        <v>0.33031161473087156</v>
      </c>
      <c r="F171" s="169">
        <f t="shared" ref="F171" si="137">(100*(B171/B159-1))</f>
        <v>1.8549620955032209</v>
      </c>
      <c r="G171" s="170">
        <f t="shared" ref="G171" si="138">100*(B171/B147-1)</f>
        <v>0.53337193822082796</v>
      </c>
      <c r="H171" s="174">
        <f t="shared" si="95"/>
        <v>1.3692618715517582</v>
      </c>
    </row>
    <row r="172" spans="1:8" ht="16.5" customHeight="1">
      <c r="A172" s="163" t="str">
        <f>Motorista!A172</f>
        <v>JUNHO|17</v>
      </c>
      <c r="B172" s="191">
        <f>[218]VEÍCULO!$D$21</f>
        <v>355750</v>
      </c>
      <c r="C172" s="165">
        <f t="shared" ref="C172" si="139">100*B172/B$8</f>
        <v>159.90488861719916</v>
      </c>
      <c r="D172" s="166">
        <f t="shared" ref="D172" si="140">100*(B172/B171-1)</f>
        <v>0.44724790070194143</v>
      </c>
      <c r="E172" s="166">
        <f t="shared" si="120"/>
        <v>0.7790368271954673</v>
      </c>
      <c r="F172" s="169">
        <f t="shared" ref="F172" si="141">(100*(B172/B160-1))</f>
        <v>1.4255167498218091</v>
      </c>
      <c r="G172" s="170">
        <f t="shared" ref="G172" si="142">100*(B172/B148-1)</f>
        <v>2.0700933909076458</v>
      </c>
      <c r="H172" s="174">
        <f t="shared" si="95"/>
        <v>1.3631651440618411</v>
      </c>
    </row>
    <row r="173" spans="1:8" ht="16.5" customHeight="1">
      <c r="A173" s="163" t="str">
        <f>Motorista!A173</f>
        <v>JULHO|17</v>
      </c>
      <c r="B173" s="191">
        <f>[219]VEÍCULO!$D$21</f>
        <v>352800</v>
      </c>
      <c r="C173" s="165">
        <f t="shared" ref="C173" si="143">100*B173/B$8</f>
        <v>158.57890289289631</v>
      </c>
      <c r="D173" s="166">
        <f t="shared" ref="D173" si="144">100*(B173/B172-1)</f>
        <v>-0.82923401264932695</v>
      </c>
      <c r="E173" s="166">
        <f t="shared" ref="E173" si="145">100*(B173/B$166-1)</f>
        <v>-5.6657223796030554E-2</v>
      </c>
      <c r="F173" s="169">
        <f t="shared" ref="F173" si="146">(100*(B173/B161-1))</f>
        <v>-6.235438833179785E-3</v>
      </c>
      <c r="G173" s="170">
        <f t="shared" ref="G173" si="147">100*(B173/B149-1)</f>
        <v>1.2338593974175138</v>
      </c>
      <c r="H173" s="174">
        <f t="shared" si="95"/>
        <v>1.3745634920634922</v>
      </c>
    </row>
    <row r="174" spans="1:8" ht="16.5" customHeight="1">
      <c r="A174" s="163" t="str">
        <f>Motorista!A174</f>
        <v>AGOSTO|17</v>
      </c>
      <c r="B174" s="191">
        <f>[220]VEÍCULO!$D$21</f>
        <v>353000</v>
      </c>
      <c r="C174" s="165">
        <f t="shared" ref="C174" si="148">100*B174/B$8</f>
        <v>158.66880023013718</v>
      </c>
      <c r="D174" s="166">
        <f t="shared" ref="D174" si="149">100*(B174/B173-1)</f>
        <v>5.6689342403637433E-2</v>
      </c>
      <c r="E174" s="166">
        <f>100*(B174/B$166-1)</f>
        <v>0</v>
      </c>
      <c r="F174" s="169">
        <f t="shared" ref="F174" si="150">(100*(B174/B162-1))</f>
        <v>5.0450368741183915E-2</v>
      </c>
      <c r="G174" s="170">
        <f t="shared" ref="G174" si="151">100*(B174/B150-1)</f>
        <v>0.77997419119073541</v>
      </c>
      <c r="H174" s="174">
        <f t="shared" si="95"/>
        <v>1.3737847025495751</v>
      </c>
    </row>
    <row r="175" spans="1:8" ht="16.5" customHeight="1">
      <c r="A175" s="163" t="str">
        <f>Motorista!A175</f>
        <v>SETEMBRO|17</v>
      </c>
      <c r="B175" s="191">
        <f>[221]VEÍCULO!$D$21</f>
        <v>353650</v>
      </c>
      <c r="C175" s="165">
        <f t="shared" ref="C175" si="152">100*B175/B$8</f>
        <v>158.96096657617002</v>
      </c>
      <c r="D175" s="166">
        <f t="shared" ref="D175" si="153">100*(B175/B174-1)</f>
        <v>0.18413597733710763</v>
      </c>
      <c r="E175" s="166">
        <f>100*(B175/B$166-1)</f>
        <v>0.18413597733710763</v>
      </c>
      <c r="F175" s="169">
        <f t="shared" ref="F175" si="154">(100*(B175/B163-1))</f>
        <v>2.3796427640911277</v>
      </c>
      <c r="G175" s="170">
        <f t="shared" ref="G175" si="155">100*(B175/B151-1)</f>
        <v>0.9802493882364427</v>
      </c>
      <c r="H175" s="174">
        <f t="shared" si="95"/>
        <v>1.3712597200622083</v>
      </c>
    </row>
    <row r="176" spans="1:8" ht="16.5" customHeight="1">
      <c r="A176" s="163" t="str">
        <f>Motorista!A176</f>
        <v>OUTUBRO|17</v>
      </c>
      <c r="B176" s="191">
        <f>[222]VEÍCULO!$D$21</f>
        <v>356320</v>
      </c>
      <c r="C176" s="165">
        <f t="shared" ref="C176" si="156">100*B176/B$8</f>
        <v>160.16109602833563</v>
      </c>
      <c r="D176" s="166">
        <f t="shared" ref="D176" si="157">100*(B176/B175-1)</f>
        <v>0.75498374098685872</v>
      </c>
      <c r="E176" s="166">
        <f>100*(B176/B$166-1)</f>
        <v>0.94050991501415382</v>
      </c>
      <c r="F176" s="169">
        <f t="shared" ref="F176" si="158">(100*(B176/B164-1))</f>
        <v>3.149307696538628</v>
      </c>
      <c r="G176" s="170">
        <f t="shared" ref="G176" si="159">100*(B176/B152-1)</f>
        <v>1.7426338527255947</v>
      </c>
      <c r="H176" s="174">
        <f t="shared" si="95"/>
        <v>1.3609845083071397</v>
      </c>
    </row>
    <row r="177" spans="1:9" ht="16.5" customHeight="1">
      <c r="A177" s="163" t="str">
        <f>Motorista!A177</f>
        <v>NOVEMBRO|17</v>
      </c>
      <c r="B177" s="191">
        <f>[223]VEÍCULO!$D$21</f>
        <v>359000</v>
      </c>
      <c r="C177" s="165">
        <f t="shared" ref="C177" si="160">100*B177/B$8</f>
        <v>161.36572034736332</v>
      </c>
      <c r="D177" s="166">
        <f t="shared" ref="D177" si="161">100*(B177/B176-1)</f>
        <v>0.75213291423439355</v>
      </c>
      <c r="E177" s="166">
        <f>100*(B177/B$166-1)</f>
        <v>1.6997167138810276</v>
      </c>
      <c r="F177" s="169">
        <f t="shared" ref="F177" si="162">(100*(B177/B165-1))</f>
        <v>3.041888393292802</v>
      </c>
      <c r="G177" s="170">
        <f t="shared" ref="G177" si="163">100*(B177/B153-1)</f>
        <v>1.5555825867536344</v>
      </c>
      <c r="H177" s="174">
        <f t="shared" si="95"/>
        <v>1.3508245125348188</v>
      </c>
    </row>
    <row r="178" spans="1:9" ht="16.5" customHeight="1">
      <c r="A178" s="163" t="str">
        <f>Motorista!A178</f>
        <v>DEZEMBRO|17</v>
      </c>
      <c r="B178" s="191">
        <f>[224]VEÍCULO!$D$21</f>
        <v>359000</v>
      </c>
      <c r="C178" s="165">
        <f t="shared" ref="C178" si="164">100*B178/B$8</f>
        <v>161.36572034736332</v>
      </c>
      <c r="D178" s="166">
        <f t="shared" ref="D178" si="165">100*(B178/B177-1)</f>
        <v>0</v>
      </c>
      <c r="E178" s="166">
        <f>100*(B178/B$166-1)</f>
        <v>1.6997167138810276</v>
      </c>
      <c r="F178" s="169">
        <f t="shared" ref="F178" si="166">(100*(B178/B166-1))</f>
        <v>1.6997167138810276</v>
      </c>
      <c r="G178" s="170">
        <f t="shared" ref="G178" si="167">100*(B178/B154-1)</f>
        <v>1.0410891047309079</v>
      </c>
      <c r="H178" s="174">
        <f t="shared" si="95"/>
        <v>1.3508245125348188</v>
      </c>
    </row>
    <row r="179" spans="1:9" ht="16.5" customHeight="1">
      <c r="A179" s="163" t="str">
        <f>Motorista!A179</f>
        <v>JANEIRO|18</v>
      </c>
      <c r="B179" s="191">
        <f>[225]VEÍCULO!$D$21</f>
        <v>359000</v>
      </c>
      <c r="C179" s="165">
        <f t="shared" ref="C179" si="168">100*B179/B$8</f>
        <v>161.36572034736332</v>
      </c>
      <c r="D179" s="166">
        <f t="shared" ref="D179" si="169">100*(B179/B178-1)</f>
        <v>0</v>
      </c>
      <c r="E179" s="166">
        <f t="shared" ref="E179:E184" si="170">100*(B179/B$178-1)</f>
        <v>0</v>
      </c>
      <c r="F179" s="169">
        <f t="shared" ref="F179" si="171">(100*(B179/B167-1))</f>
        <v>-1.2306278595659137</v>
      </c>
      <c r="G179" s="170">
        <f t="shared" ref="G179" si="172">100*(B179/B155-1)</f>
        <v>2.1229628744627194</v>
      </c>
      <c r="H179" s="174">
        <f t="shared" si="95"/>
        <v>1.3508245125348188</v>
      </c>
    </row>
    <row r="180" spans="1:9" ht="16.5" customHeight="1">
      <c r="A180" s="163" t="str">
        <f>Motorista!A180</f>
        <v>FEVEREIRO|18</v>
      </c>
      <c r="B180" s="191">
        <f>[226]VEÍCULO!$D$21</f>
        <v>357022</v>
      </c>
      <c r="C180" s="165">
        <f t="shared" ref="C180" si="173">100*B180/B$8</f>
        <v>160.4766356820511</v>
      </c>
      <c r="D180" s="166">
        <f t="shared" ref="D180" si="174">100*(B180/B179-1)</f>
        <v>-0.55097493036211365</v>
      </c>
      <c r="E180" s="166">
        <f t="shared" si="170"/>
        <v>-0.55097493036211365</v>
      </c>
      <c r="F180" s="169">
        <f t="shared" ref="F180" si="175">(100*(B180/B168-1))</f>
        <v>-1.0191351213480582</v>
      </c>
      <c r="G180" s="170">
        <f t="shared" ref="G180" si="176">100*(B180/B156-1)</f>
        <v>1.4324677538496422</v>
      </c>
      <c r="H180" s="174">
        <f t="shared" si="95"/>
        <v>1.3583084515800148</v>
      </c>
    </row>
    <row r="181" spans="1:9" ht="16.5" customHeight="1">
      <c r="A181" s="163" t="str">
        <f>Motorista!A181</f>
        <v>MARÇO|18</v>
      </c>
      <c r="B181" s="191">
        <f>[227]VEÍCULO!$D$21</f>
        <v>356900</v>
      </c>
      <c r="C181" s="165">
        <f t="shared" ref="C181" si="177">100*B181/B$8</f>
        <v>160.42179830633415</v>
      </c>
      <c r="D181" s="166">
        <f t="shared" ref="D181" si="178">100*(B181/B180-1)</f>
        <v>-3.4171563657137138E-2</v>
      </c>
      <c r="E181" s="166">
        <f t="shared" si="170"/>
        <v>-0.58495821727019282</v>
      </c>
      <c r="F181" s="169">
        <f t="shared" ref="F181" si="179">(100*(B181/B169-1))</f>
        <v>-0.76904683789961181</v>
      </c>
      <c r="G181" s="170">
        <f t="shared" ref="G181" si="180">100*(B181/B157-1)</f>
        <v>1.3978066935621314</v>
      </c>
      <c r="H181" s="174">
        <f t="shared" si="95"/>
        <v>1.3587727654805268</v>
      </c>
    </row>
    <row r="182" spans="1:9" ht="16.5" customHeight="1">
      <c r="A182" s="163" t="str">
        <f>Motorista!A182</f>
        <v>ABRIL|18</v>
      </c>
      <c r="B182" s="191">
        <f>[228]VEÍCULO!$D$21</f>
        <v>357000</v>
      </c>
      <c r="C182" s="165">
        <f t="shared" ref="C182" si="181">100*B182/B$8</f>
        <v>160.46674697495459</v>
      </c>
      <c r="D182" s="166">
        <f t="shared" ref="D182" si="182">100*(B182/B181-1)</f>
        <v>2.8019052956018697E-2</v>
      </c>
      <c r="E182" s="166">
        <f t="shared" si="170"/>
        <v>-0.55710306406685506</v>
      </c>
      <c r="F182" s="169">
        <f t="shared" ref="F182" si="183">(100*(B182/B170-1))</f>
        <v>0.35137034434293835</v>
      </c>
      <c r="G182" s="170">
        <f t="shared" ref="G182" si="184">100*(B182/B158-1)</f>
        <v>2.7595397984531367</v>
      </c>
      <c r="H182" s="174">
        <f t="shared" si="95"/>
        <v>1.3583921568627451</v>
      </c>
    </row>
    <row r="183" spans="1:9" ht="16.5" customHeight="1">
      <c r="A183" s="163" t="str">
        <f>Motorista!A183</f>
        <v>MAIO|18</v>
      </c>
      <c r="B183" s="191">
        <f>[229]VEÍCULO!$D$21</f>
        <v>358125</v>
      </c>
      <c r="C183" s="165">
        <f t="shared" ref="C183" si="185">100*B183/B$8</f>
        <v>160.97241949693449</v>
      </c>
      <c r="D183" s="166">
        <f t="shared" ref="D183" si="186">100*(B183/B182-1)</f>
        <v>0.31512605042016695</v>
      </c>
      <c r="E183" s="166">
        <f t="shared" si="170"/>
        <v>-0.24373259052924423</v>
      </c>
      <c r="F183" s="169">
        <f t="shared" ref="F183" si="187">(100*(B183/B171-1))</f>
        <v>1.117837398282151</v>
      </c>
      <c r="G183" s="170">
        <f t="shared" ref="G183" si="188">100*(B183/B159-1)</f>
        <v>2.9935349538128708</v>
      </c>
      <c r="H183" s="174">
        <f t="shared" si="95"/>
        <v>1.3541249563699826</v>
      </c>
    </row>
    <row r="184" spans="1:9" ht="16.5" customHeight="1">
      <c r="A184" s="163" t="str">
        <f>Motorista!A184</f>
        <v>JUNHO|18</v>
      </c>
      <c r="B184" s="191">
        <f>[230]VEÍCULO!$D$21</f>
        <v>358212</v>
      </c>
      <c r="C184" s="165">
        <f t="shared" ref="C184" si="189">100*B184/B$8</f>
        <v>161.01152483863427</v>
      </c>
      <c r="D184" s="166">
        <f t="shared" ref="D184" si="190">100*(B184/B183-1)</f>
        <v>2.4293193717284112E-2</v>
      </c>
      <c r="E184" s="166">
        <f t="shared" si="170"/>
        <v>-0.21949860724234105</v>
      </c>
      <c r="F184" s="169">
        <f t="shared" ref="F184" si="191">(100*(B184/B172-1))</f>
        <v>0.69205903021785087</v>
      </c>
      <c r="G184" s="170">
        <f t="shared" ref="G184" si="192">100*(B184/B160-1)</f>
        <v>2.1274411974340657</v>
      </c>
      <c r="H184" s="174">
        <f t="shared" si="95"/>
        <v>1.3537960760666867</v>
      </c>
      <c r="I184" s="150"/>
    </row>
    <row r="185" spans="1:9" ht="16.5" customHeight="1">
      <c r="A185" s="163" t="str">
        <f>Motorista!A185</f>
        <v>JULHO|18</v>
      </c>
      <c r="B185" s="191">
        <f>[231]VEÍCULO!$D$21</f>
        <v>362162</v>
      </c>
      <c r="C185" s="165">
        <f t="shared" ref="C185" si="193">100*B185/B$8</f>
        <v>162.78699724914148</v>
      </c>
      <c r="D185" s="166">
        <f t="shared" ref="D185" si="194">100*(B185/B184-1)</f>
        <v>1.1026989603921677</v>
      </c>
      <c r="E185" s="166">
        <f t="shared" ref="E185" si="195">100*(B185/B$178-1)</f>
        <v>0.88077994428970019</v>
      </c>
      <c r="F185" s="169">
        <f t="shared" ref="F185" si="196">(100*(B185/B173-1))</f>
        <v>2.653628117913831</v>
      </c>
      <c r="G185" s="170">
        <f t="shared" ref="G185" si="197">100*(B185/B161-1)</f>
        <v>2.6472272137225028</v>
      </c>
      <c r="H185" s="174">
        <f t="shared" si="95"/>
        <v>1.3390305995659402</v>
      </c>
      <c r="I185" s="150"/>
    </row>
    <row r="186" spans="1:9" ht="16.5" customHeight="1">
      <c r="A186" s="163" t="str">
        <f>Motorista!A186</f>
        <v>AGOSTO|18</v>
      </c>
      <c r="B186" s="191">
        <f>[232]VEÍCULO!$D$21</f>
        <v>363212</v>
      </c>
      <c r="C186" s="165">
        <f t="shared" ref="C186" si="198">100*B186/B$8</f>
        <v>163.25895826965606</v>
      </c>
      <c r="D186" s="166">
        <f t="shared" ref="D186" si="199">100*(B186/B185-1)</f>
        <v>0.2899255029517267</v>
      </c>
      <c r="E186" s="166">
        <f t="shared" ref="E186" si="200">100*(B186/B$178-1)</f>
        <v>1.1732590529248021</v>
      </c>
      <c r="F186" s="169">
        <f t="shared" ref="F186" si="201">(100*(B186/B174-1))</f>
        <v>2.8929178470255001</v>
      </c>
      <c r="G186" s="170">
        <f t="shared" ref="G186" si="202">100*(B186/B162-1)</f>
        <v>2.9448277034878734</v>
      </c>
      <c r="H186" s="174">
        <f t="shared" si="95"/>
        <v>1.3351596312897152</v>
      </c>
      <c r="I186" s="150"/>
    </row>
    <row r="187" spans="1:9" ht="16.5" customHeight="1">
      <c r="A187" s="163" t="str">
        <f>Motorista!A187</f>
        <v>SETEMBRO|18</v>
      </c>
      <c r="B187" s="191">
        <f>[233]VEÍCULO!$D$21</f>
        <v>367141</v>
      </c>
      <c r="C187" s="165">
        <f t="shared" ref="C187" si="203">100*B187/B$8</f>
        <v>165.02499145975295</v>
      </c>
      <c r="D187" s="166">
        <f t="shared" ref="D187" si="204">100*(B187/B186-1)</f>
        <v>1.0817373875312564</v>
      </c>
      <c r="E187" s="166">
        <f t="shared" ref="E187" si="205">100*(B187/B$178-1)</f>
        <v>2.26768802228412</v>
      </c>
      <c r="F187" s="169">
        <f t="shared" ref="F187" si="206">(100*(B187/B175-1))</f>
        <v>3.8147886328290692</v>
      </c>
      <c r="G187" s="170">
        <f t="shared" ref="G187" si="207">100*(B187/B163-1)</f>
        <v>6.2852097385866834</v>
      </c>
      <c r="H187" s="174">
        <f t="shared" si="95"/>
        <v>1.3208712728897072</v>
      </c>
      <c r="I187" s="150"/>
    </row>
    <row r="188" spans="1:9" ht="16.5" customHeight="1">
      <c r="A188" s="163" t="str">
        <f>Motorista!A188</f>
        <v>OUTUBRO|18</v>
      </c>
      <c r="B188" s="191">
        <f>[234]VEÍCULO!$D$21</f>
        <v>367250</v>
      </c>
      <c r="C188" s="165">
        <f t="shared" ref="C188" si="208">100*B188/B$8</f>
        <v>165.07398550854924</v>
      </c>
      <c r="D188" s="166">
        <f t="shared" ref="D188" si="209">100*(B188/B187-1)</f>
        <v>2.9688866130461733E-2</v>
      </c>
      <c r="E188" s="166">
        <f t="shared" ref="E188" si="210">100*(B188/B$178-1)</f>
        <v>2.2980501392757757</v>
      </c>
      <c r="F188" s="169">
        <f t="shared" ref="F188" si="211">(100*(B188/B176-1))</f>
        <v>3.067467444993266</v>
      </c>
      <c r="G188" s="170">
        <f t="shared" ref="G188" si="212">100*(B188/B164-1)</f>
        <v>6.3133791298658926</v>
      </c>
      <c r="H188" s="174">
        <f t="shared" si="95"/>
        <v>1.3204792375765828</v>
      </c>
      <c r="I188" s="150"/>
    </row>
    <row r="189" spans="1:9" ht="16.5" customHeight="1">
      <c r="A189" s="163" t="str">
        <f>Motorista!A189</f>
        <v>NOVEMBRO|18</v>
      </c>
      <c r="B189" s="191">
        <f>[235]VEÍCULO!$D$21</f>
        <v>369000</v>
      </c>
      <c r="C189" s="165">
        <f t="shared" ref="C189" si="213">100*B189/B$8</f>
        <v>165.86058720940684</v>
      </c>
      <c r="D189" s="166">
        <f t="shared" ref="D189" si="214">100*(B189/B188-1)</f>
        <v>0.47651463580666853</v>
      </c>
      <c r="E189" s="166">
        <f t="shared" ref="E189" si="215">100*(B189/B$178-1)</f>
        <v>2.7855153203342642</v>
      </c>
      <c r="F189" s="169">
        <f t="shared" ref="F189" si="216">(100*(B189/B177-1))</f>
        <v>2.7855153203342642</v>
      </c>
      <c r="G189" s="170">
        <f t="shared" ref="G189" si="217">100*(B189/B165-1)</f>
        <v>5.9121359808496976</v>
      </c>
      <c r="H189" s="174">
        <f t="shared" si="95"/>
        <v>1.3142168021680216</v>
      </c>
      <c r="I189" s="150"/>
    </row>
    <row r="190" spans="1:9" ht="16.5" customHeight="1">
      <c r="A190" s="163" t="str">
        <f>Motorista!A190</f>
        <v>DEZEMBRO|18</v>
      </c>
      <c r="B190" s="191">
        <f>[236]VEÍCULO!$D$21</f>
        <v>374600</v>
      </c>
      <c r="C190" s="165">
        <f t="shared" ref="C190" si="218">100*B190/B$8</f>
        <v>168.37771265215125</v>
      </c>
      <c r="D190" s="166">
        <f t="shared" ref="D190" si="219">100*(B190/B189-1)</f>
        <v>1.5176151761517653</v>
      </c>
      <c r="E190" s="166">
        <f t="shared" ref="E190" si="220">100*(B190/B$178-1)</f>
        <v>4.345403899721445</v>
      </c>
      <c r="F190" s="169">
        <f t="shared" ref="F190" si="221">(100*(B190/B178-1))</f>
        <v>4.345403899721445</v>
      </c>
      <c r="G190" s="170">
        <f t="shared" ref="G190" si="222">100*(B190/B166-1)</f>
        <v>6.1189801699716773</v>
      </c>
      <c r="H190" s="174">
        <f t="shared" si="95"/>
        <v>1.2945702082221036</v>
      </c>
      <c r="I190" s="150"/>
    </row>
    <row r="191" spans="1:9" ht="16.5" customHeight="1">
      <c r="A191" s="163" t="str">
        <f>Motorista!A191</f>
        <v>JANEIRO|19</v>
      </c>
      <c r="B191" s="191">
        <f>[237]VEÍCULO!$D$21</f>
        <v>381283</v>
      </c>
      <c r="C191" s="165">
        <f t="shared" ref="C191" si="223">100*B191/B$8</f>
        <v>171.38163217605495</v>
      </c>
      <c r="D191" s="166">
        <f t="shared" ref="D191" si="224">100*(B191/B190-1)</f>
        <v>1.7840363053924113</v>
      </c>
      <c r="E191" s="166">
        <f t="shared" ref="E191:E196" si="225">100*(B191/B$190-1)</f>
        <v>1.7840363053924113</v>
      </c>
      <c r="F191" s="169">
        <f t="shared" ref="F191" si="226">(100*(B191/B179-1))</f>
        <v>6.2069637883008344</v>
      </c>
      <c r="G191" s="170">
        <f t="shared" ref="G191" si="227">100*(B191/B167-1)</f>
        <v>4.8999513031229291</v>
      </c>
      <c r="H191" s="174">
        <f t="shared" si="95"/>
        <v>1.2718794176504067</v>
      </c>
      <c r="I191" s="150"/>
    </row>
    <row r="192" spans="1:9" ht="16.5" customHeight="1">
      <c r="A192" s="196" t="str">
        <f>Motorista!A192</f>
        <v>FEVEREIRO|19</v>
      </c>
      <c r="B192" s="280">
        <f>[238]VEÍCULO!$D$21</f>
        <v>387000</v>
      </c>
      <c r="C192" s="197">
        <f t="shared" ref="C192" si="228">100*B192/B$8</f>
        <v>173.95134756108524</v>
      </c>
      <c r="D192" s="198">
        <f t="shared" ref="D192" si="229">100*(B192/B191-1)</f>
        <v>1.4994111985060954</v>
      </c>
      <c r="E192" s="198">
        <f t="shared" si="225"/>
        <v>3.3101975440469777</v>
      </c>
      <c r="F192" s="199">
        <f t="shared" ref="F192" si="230">(100*(B192/B180-1))</f>
        <v>8.3966814369982767</v>
      </c>
      <c r="G192" s="200">
        <f t="shared" ref="G192" si="231">100*(B192/B168-1)</f>
        <v>7.2919727860980554</v>
      </c>
      <c r="H192" s="174">
        <f t="shared" si="95"/>
        <v>1.2530904392764859</v>
      </c>
      <c r="I192" s="150"/>
    </row>
    <row r="193" spans="1:9" ht="16.5" customHeight="1">
      <c r="A193" s="196" t="str">
        <f>Motorista!A193</f>
        <v>MARÇO|19</v>
      </c>
      <c r="B193" s="280">
        <f>[239]VEÍCULO!$D$21</f>
        <v>387000</v>
      </c>
      <c r="C193" s="197">
        <f t="shared" ref="C193" si="232">100*B193/B$8</f>
        <v>173.95134756108524</v>
      </c>
      <c r="D193" s="198">
        <f t="shared" ref="D193" si="233">100*(B193/B192-1)</f>
        <v>0</v>
      </c>
      <c r="E193" s="198">
        <f t="shared" si="225"/>
        <v>3.3101975440469777</v>
      </c>
      <c r="F193" s="199">
        <f t="shared" ref="F193" si="234">(100*(B193/B181-1))</f>
        <v>8.4337349397590309</v>
      </c>
      <c r="G193" s="200">
        <f t="shared" ref="G193" si="235">100*(B193/B169-1)</f>
        <v>7.5998287299883671</v>
      </c>
      <c r="H193" s="174">
        <f t="shared" si="95"/>
        <v>1.2530904392764859</v>
      </c>
      <c r="I193" s="150"/>
    </row>
    <row r="194" spans="1:9" ht="16.5" customHeight="1">
      <c r="A194" s="196" t="str">
        <f>Motorista!A194</f>
        <v>ABRIL|19</v>
      </c>
      <c r="B194" s="280">
        <f>[240]VEÍCULO!$D$21</f>
        <v>382574</v>
      </c>
      <c r="C194" s="197">
        <f t="shared" ref="C194" si="236">100*B194/B$8</f>
        <v>171.96191948794475</v>
      </c>
      <c r="D194" s="198">
        <f t="shared" ref="D194" si="237">100*(B194/B193-1)</f>
        <v>-1.1436692506459956</v>
      </c>
      <c r="E194" s="198">
        <f t="shared" si="225"/>
        <v>2.1286705819540952</v>
      </c>
      <c r="F194" s="199">
        <f t="shared" ref="F194" si="238">(100*(B194/B182-1))</f>
        <v>7.1635854341736804</v>
      </c>
      <c r="G194" s="200">
        <f t="shared" ref="G194" si="239">100*(B194/B170-1)</f>
        <v>7.540126493323962</v>
      </c>
      <c r="H194" s="174">
        <f t="shared" si="95"/>
        <v>1.2675874471344106</v>
      </c>
      <c r="I194" s="150"/>
    </row>
    <row r="195" spans="1:9" ht="16.5" customHeight="1">
      <c r="A195" s="196" t="str">
        <f>Motorista!A195</f>
        <v>MAIO|19</v>
      </c>
      <c r="B195" s="280">
        <f>[241]VEÍCULO!$D$21</f>
        <v>378198</v>
      </c>
      <c r="C195" s="197">
        <f t="shared" ref="C195" si="240">100*B195/B$8</f>
        <v>169.9949657491145</v>
      </c>
      <c r="D195" s="198">
        <f t="shared" ref="D195" si="241">100*(B195/B194-1)</f>
        <v>-1.1438309974018068</v>
      </c>
      <c r="E195" s="198">
        <f t="shared" si="225"/>
        <v>0.96049119060330757</v>
      </c>
      <c r="F195" s="199">
        <f t="shared" ref="F195" si="242">(100*(B195/B183-1))</f>
        <v>5.6050261780104638</v>
      </c>
      <c r="G195" s="200">
        <f t="shared" ref="G195" si="243">100*(B195/B171-1)</f>
        <v>6.7855186550939361</v>
      </c>
      <c r="H195" s="174">
        <f t="shared" si="95"/>
        <v>1.2822542689279162</v>
      </c>
      <c r="I195" s="150"/>
    </row>
    <row r="196" spans="1:9" ht="16.5" customHeight="1">
      <c r="A196" s="196" t="str">
        <f>Motorista!A196</f>
        <v>JUNHO|19</v>
      </c>
      <c r="B196" s="280">
        <f>[242]VEÍCULO!$D$21</f>
        <v>427327</v>
      </c>
      <c r="C196" s="197">
        <f t="shared" ref="C196" si="244">100*B196/B$8</f>
        <v>192.07779715564826</v>
      </c>
      <c r="D196" s="198">
        <f t="shared" ref="D196" si="245">100*(B196/B195-1)</f>
        <v>12.990285511821842</v>
      </c>
      <c r="E196" s="198">
        <f t="shared" si="225"/>
        <v>14.075547250400433</v>
      </c>
      <c r="F196" s="199">
        <f t="shared" ref="F196" si="246">(100*(B196/B184-1))</f>
        <v>19.294440163925273</v>
      </c>
      <c r="G196" s="200">
        <f t="shared" ref="G196" si="247">100*(B196/B172-1)</f>
        <v>20.12002810962754</v>
      </c>
      <c r="H196" s="174">
        <f t="shared" si="95"/>
        <v>1.1348358517013903</v>
      </c>
      <c r="I196" s="150"/>
    </row>
    <row r="197" spans="1:9" ht="16.5" customHeight="1">
      <c r="A197" s="196" t="str">
        <f>Motorista!A197</f>
        <v>JULHO|19</v>
      </c>
      <c r="B197" s="280">
        <f>[243]VEÍCULO!$D$21</f>
        <v>434060</v>
      </c>
      <c r="C197" s="197">
        <f t="shared" ref="C197" si="248">100*B197/B$8</f>
        <v>195.10419101386216</v>
      </c>
      <c r="D197" s="198">
        <f t="shared" ref="D197" si="249">100*(B197/B196-1)</f>
        <v>1.5756083748511118</v>
      </c>
      <c r="E197" s="198">
        <f t="shared" ref="E197" si="250">100*(B197/B$190-1)</f>
        <v>15.872931126534962</v>
      </c>
      <c r="F197" s="199">
        <f t="shared" ref="F197" si="251">(100*(B197/B185-1))</f>
        <v>19.852441724973914</v>
      </c>
      <c r="G197" s="200">
        <f t="shared" ref="G197" si="252">100*(B197/B173-1)</f>
        <v>23.032879818594097</v>
      </c>
      <c r="H197" s="174">
        <f t="shared" si="95"/>
        <v>1.1172326406487583</v>
      </c>
      <c r="I197" s="150"/>
    </row>
    <row r="198" spans="1:9" ht="16.5" customHeight="1">
      <c r="A198" s="196" t="str">
        <f>Motorista!A198</f>
        <v>AGOSTO|19</v>
      </c>
      <c r="B198" s="280">
        <f>[244]VEÍCULO!$D$21</f>
        <v>438526</v>
      </c>
      <c r="C198" s="197">
        <f t="shared" ref="C198" si="253">100*B198/B$8</f>
        <v>197.11159855445081</v>
      </c>
      <c r="D198" s="198">
        <f t="shared" ref="D198" si="254">100*(B198/B197-1)</f>
        <v>1.0288900152052749</v>
      </c>
      <c r="E198" s="198">
        <f t="shared" ref="E198" si="255">100*(B198/B$190-1)</f>
        <v>17.065136145221558</v>
      </c>
      <c r="F198" s="199">
        <f t="shared" ref="F198" si="256">(100*(B198/B186-1))</f>
        <v>20.735548384965252</v>
      </c>
      <c r="G198" s="200">
        <f t="shared" ref="G198" si="257">100*(B198/B174-1)</f>
        <v>24.228328611898007</v>
      </c>
      <c r="H198" s="174">
        <f t="shared" si="95"/>
        <v>1.1058546129533939</v>
      </c>
      <c r="I198" s="150"/>
    </row>
    <row r="199" spans="1:9" ht="16.5" customHeight="1">
      <c r="A199" s="196" t="str">
        <f>Motorista!A199</f>
        <v>SETEMBRO|19</v>
      </c>
      <c r="B199" s="280">
        <f>[245]VEÍCULO!$D$21</f>
        <v>439193</v>
      </c>
      <c r="C199" s="197">
        <f t="shared" ref="C199" si="258">100*B199/B$8</f>
        <v>197.41140617414914</v>
      </c>
      <c r="D199" s="198">
        <f t="shared" ref="D199" si="259">100*(B199/B198-1)</f>
        <v>0.15210044558362501</v>
      </c>
      <c r="E199" s="198">
        <f t="shared" ref="E199" si="260">100*(B199/B$190-1)</f>
        <v>17.243192738921522</v>
      </c>
      <c r="F199" s="199">
        <f t="shared" ref="F199" si="261">(100*(B199/B187-1))</f>
        <v>19.625157636984159</v>
      </c>
      <c r="G199" s="200">
        <f t="shared" ref="G199" si="262">100*(B199/B175-1)</f>
        <v>24.188604552523675</v>
      </c>
      <c r="H199" s="174">
        <f t="shared" si="95"/>
        <v>1.1041751576186323</v>
      </c>
      <c r="I199" s="150"/>
    </row>
    <row r="200" spans="1:9" ht="16.5" customHeight="1">
      <c r="A200" s="196" t="str">
        <f>Motorista!A200</f>
        <v>OUTUBRO|19</v>
      </c>
      <c r="B200" s="280">
        <f>[246]VEÍCULO!$D$21</f>
        <v>443368</v>
      </c>
      <c r="C200" s="197">
        <f t="shared" ref="C200" si="263">100*B200/B$8</f>
        <v>199.2880130890523</v>
      </c>
      <c r="D200" s="198">
        <f t="shared" ref="D200" si="264">100*(B200/B199-1)</f>
        <v>0.95060713627037607</v>
      </c>
      <c r="E200" s="198">
        <f t="shared" ref="E200" si="265">100*(B200/B$190-1)</f>
        <v>18.357714895888954</v>
      </c>
      <c r="F200" s="199">
        <f t="shared" ref="F200" si="266">(100*(B200/B188-1))</f>
        <v>20.72648059904698</v>
      </c>
      <c r="G200" s="200">
        <f t="shared" ref="G200" si="267">100*(B200/B176-1)</f>
        <v>24.429726088908854</v>
      </c>
      <c r="H200" s="174">
        <f t="shared" si="95"/>
        <v>1.0937776294184516</v>
      </c>
      <c r="I200" s="150"/>
    </row>
    <row r="201" spans="1:9" ht="16.5" customHeight="1">
      <c r="A201" s="196" t="str">
        <f>Motorista!A201</f>
        <v>NOVEMBRO|19</v>
      </c>
      <c r="B201" s="280">
        <f>[247]VEÍCULO!$D$21</f>
        <v>452992</v>
      </c>
      <c r="C201" s="197">
        <f t="shared" ref="C201" si="268">100*B201/B$8</f>
        <v>203.613872957083</v>
      </c>
      <c r="D201" s="198">
        <f t="shared" ref="D201" si="269">100*(B201/B200-1)</f>
        <v>2.1706573320582345</v>
      </c>
      <c r="E201" s="198">
        <f t="shared" ref="E201" si="270">100*(B201/B$190-1)</f>
        <v>20.92685531233316</v>
      </c>
      <c r="F201" s="199">
        <f t="shared" ref="F201" si="271">(100*(B201/B189-1))</f>
        <v>22.762059620596208</v>
      </c>
      <c r="G201" s="200">
        <f t="shared" ref="G201" si="272">100*(B201/B177-1)</f>
        <v>26.181615598885788</v>
      </c>
      <c r="H201" s="174">
        <f t="shared" si="95"/>
        <v>1.0705398770839221</v>
      </c>
      <c r="I201" s="150"/>
    </row>
    <row r="202" spans="1:9" ht="16.5" customHeight="1">
      <c r="A202" s="196" t="str">
        <f>Motorista!A202</f>
        <v>DEZEMBRO|19</v>
      </c>
      <c r="B202" s="280">
        <f>[248]VEÍCULO!$D$21</f>
        <v>463092</v>
      </c>
      <c r="C202" s="197">
        <f t="shared" ref="C202" si="273">100*B202/B$8</f>
        <v>208.15368848774699</v>
      </c>
      <c r="D202" s="198">
        <f t="shared" ref="D202" si="274">100*(B202/B201-1)</f>
        <v>2.229619949138173</v>
      </c>
      <c r="E202" s="198">
        <f t="shared" ref="E202" si="275">100*(B202/B$190-1)</f>
        <v>23.623064602242394</v>
      </c>
      <c r="F202" s="199">
        <f t="shared" ref="F202" si="276">(100*(B202/B190-1))</f>
        <v>23.623064602242394</v>
      </c>
      <c r="G202" s="200">
        <f t="shared" ref="G202" si="277">100*(B202/B178-1)</f>
        <v>28.994986072423391</v>
      </c>
      <c r="H202" s="174">
        <f t="shared" si="95"/>
        <v>1.0471914867888021</v>
      </c>
      <c r="I202" s="150"/>
    </row>
    <row r="203" spans="1:9" ht="16.5" customHeight="1">
      <c r="A203" s="196" t="str">
        <f>Motorista!A203</f>
        <v>JANEIRO|20</v>
      </c>
      <c r="B203" s="280">
        <f>[249]VEÍCULO!$D$21</f>
        <v>461868</v>
      </c>
      <c r="C203" s="197">
        <f t="shared" ref="C203" si="278">100*B203/B$8</f>
        <v>207.60351678383287</v>
      </c>
      <c r="D203" s="198">
        <f t="shared" ref="D203" si="279">100*(B203/B202-1)</f>
        <v>-0.26431033142442217</v>
      </c>
      <c r="E203" s="198">
        <f t="shared" ref="E203:E208" si="280">100*(B203/B$202-1)</f>
        <v>-0.26431033142442217</v>
      </c>
      <c r="F203" s="199">
        <f t="shared" ref="F203" si="281">(100*(B203/B191-1))</f>
        <v>21.135219771141124</v>
      </c>
      <c r="G203" s="200">
        <f t="shared" ref="G203" si="282">100*(B203/B179-1)</f>
        <v>28.654038997214482</v>
      </c>
      <c r="H203" s="174">
        <f t="shared" si="95"/>
        <v>1.0499666571401354</v>
      </c>
      <c r="I203" s="150"/>
    </row>
    <row r="204" spans="1:9" ht="16.5" customHeight="1">
      <c r="A204" s="196" t="str">
        <f>Motorista!A204</f>
        <v>FEVEREIRO|20</v>
      </c>
      <c r="B204" s="280">
        <f>[250]VEÍCULO!$D$21</f>
        <v>469556</v>
      </c>
      <c r="C204" s="197">
        <f t="shared" ref="C204" si="283">100*B204/B$8</f>
        <v>211.05917042737195</v>
      </c>
      <c r="D204" s="198">
        <f t="shared" ref="D204" si="284">100*(B204/B203-1)</f>
        <v>1.6645448483116443</v>
      </c>
      <c r="E204" s="198">
        <f t="shared" si="280"/>
        <v>1.3958349528819358</v>
      </c>
      <c r="F204" s="199">
        <f t="shared" ref="F204" si="285">(100*(B204/B192-1))</f>
        <v>21.332299741602068</v>
      </c>
      <c r="G204" s="200">
        <f t="shared" ref="G204" si="286">100*(B204/B180-1)</f>
        <v>31.52018643108827</v>
      </c>
      <c r="H204" s="174">
        <f t="shared" si="95"/>
        <v>1.0327756433737403</v>
      </c>
      <c r="I204" s="150"/>
    </row>
    <row r="205" spans="1:9" ht="16.5" customHeight="1">
      <c r="A205" s="196" t="str">
        <f>Motorista!A205</f>
        <v>MARÇO|20</v>
      </c>
      <c r="B205" s="280">
        <f>[251]VEÍCULO!$D$21</f>
        <v>460575</v>
      </c>
      <c r="C205" s="197">
        <f t="shared" ref="C205" si="287">100*B205/B$8</f>
        <v>207.02233049857062</v>
      </c>
      <c r="D205" s="198">
        <f t="shared" ref="D205" si="288">100*(B205/B204-1)</f>
        <v>-1.9126579151368506</v>
      </c>
      <c r="E205" s="198">
        <f t="shared" si="280"/>
        <v>-0.54352050996345769</v>
      </c>
      <c r="F205" s="199">
        <f t="shared" ref="F205" si="289">(100*(B205/B193-1))</f>
        <v>19.011627906976749</v>
      </c>
      <c r="G205" s="200">
        <f t="shared" ref="G205" si="290">100*(B205/B181-1)</f>
        <v>29.048753152143458</v>
      </c>
      <c r="H205" s="174">
        <f t="shared" si="95"/>
        <v>1.0529142919177115</v>
      </c>
      <c r="I205" s="150"/>
    </row>
    <row r="206" spans="1:9" ht="16.5" customHeight="1">
      <c r="A206" s="196" t="str">
        <f>Motorista!A206</f>
        <v>ABRIL|20</v>
      </c>
      <c r="B206" s="280">
        <f>[252]VEÍCULO!$D$21</f>
        <v>460002</v>
      </c>
      <c r="C206" s="197">
        <f t="shared" ref="C206" si="291">100*B206/B$8</f>
        <v>206.76477462737554</v>
      </c>
      <c r="D206" s="198">
        <f t="shared" ref="D206" si="292">100*(B206/B205-1)</f>
        <v>-0.1244097052597315</v>
      </c>
      <c r="E206" s="198">
        <f t="shared" si="280"/>
        <v>-0.66725402295871872</v>
      </c>
      <c r="F206" s="199">
        <f t="shared" ref="F206" si="293">(100*(B206/B194-1))</f>
        <v>20.238698918379193</v>
      </c>
      <c r="G206" s="200">
        <f t="shared" ref="G206" si="294">100*(B206/B182-1)</f>
        <v>28.852100840336135</v>
      </c>
      <c r="H206" s="174">
        <f t="shared" si="95"/>
        <v>1.0542258511919513</v>
      </c>
      <c r="I206" s="150"/>
    </row>
    <row r="207" spans="1:9" ht="16.5" customHeight="1">
      <c r="A207" s="196" t="str">
        <f>Motorista!A207</f>
        <v>MAIO|20</v>
      </c>
      <c r="B207" s="280">
        <f>[253]VEÍCULO!$D$21</f>
        <v>460181</v>
      </c>
      <c r="C207" s="197">
        <f t="shared" ref="C207" si="295">100*B207/B$8</f>
        <v>206.84523274420613</v>
      </c>
      <c r="D207" s="198">
        <f t="shared" ref="D207" si="296">100*(B207/B206-1)</f>
        <v>3.8912874291852084E-2</v>
      </c>
      <c r="E207" s="198">
        <f t="shared" si="280"/>
        <v>-0.62860079638603628</v>
      </c>
      <c r="F207" s="199">
        <f t="shared" ref="F207" si="297">(100*(B207/B195-1))</f>
        <v>21.677269578368996</v>
      </c>
      <c r="G207" s="200">
        <f t="shared" ref="G207" si="298">100*(B207/B183-1)</f>
        <v>28.497312390924968</v>
      </c>
      <c r="H207" s="174">
        <f t="shared" si="95"/>
        <v>1.0538157811817523</v>
      </c>
      <c r="I207" s="150"/>
    </row>
    <row r="208" spans="1:9" ht="16.5" customHeight="1">
      <c r="A208" s="196" t="str">
        <f>Motorista!A208</f>
        <v>JUNHO|20</v>
      </c>
      <c r="B208" s="280">
        <f>[254]VEÍCULO!$D$21</f>
        <v>460860</v>
      </c>
      <c r="C208" s="197">
        <f t="shared" ref="C208" si="299">100*B208/B$8</f>
        <v>207.15043420413886</v>
      </c>
      <c r="D208" s="198">
        <f t="shared" ref="D208" si="300">100*(B208/B207-1)</f>
        <v>0.14755063768385757</v>
      </c>
      <c r="E208" s="198">
        <f t="shared" si="280"/>
        <v>-0.48197766318571755</v>
      </c>
      <c r="F208" s="199">
        <f t="shared" ref="F208" si="301">(100*(B208/B196-1))</f>
        <v>7.8471521808825662</v>
      </c>
      <c r="G208" s="200">
        <f t="shared" ref="G208" si="302">100*(B208/B184-1)</f>
        <v>28.655656426920363</v>
      </c>
      <c r="H208" s="174">
        <f t="shared" si="95"/>
        <v>1.0522631601787962</v>
      </c>
      <c r="I208" s="150"/>
    </row>
    <row r="209" spans="1:9" ht="16.5" customHeight="1">
      <c r="A209" s="196" t="str">
        <f>Motorista!A209</f>
        <v>JULHO|20</v>
      </c>
      <c r="B209" s="280">
        <f>[255]VEÍCULO!$D$21</f>
        <v>463564</v>
      </c>
      <c r="C209" s="197">
        <f t="shared" ref="C209" si="303">100*B209/B$8</f>
        <v>208.36584620363544</v>
      </c>
      <c r="D209" s="198">
        <f t="shared" ref="D209" si="304">100*(B209/B208-1)</f>
        <v>0.58672915852970853</v>
      </c>
      <c r="E209" s="198">
        <f t="shared" ref="E209" si="305">100*(B209/B$202-1)</f>
        <v>0.1019235918564787</v>
      </c>
      <c r="F209" s="199">
        <f t="shared" ref="F209" si="306">(100*(B209/B197-1))</f>
        <v>6.7972169746117972</v>
      </c>
      <c r="G209" s="200">
        <f t="shared" ref="G209" si="307">100*(B209/B185-1)</f>
        <v>27.999072238390553</v>
      </c>
      <c r="H209" s="174">
        <f t="shared" si="95"/>
        <v>1.0461252383705377</v>
      </c>
      <c r="I209" s="150"/>
    </row>
    <row r="210" spans="1:9" ht="16.5" customHeight="1">
      <c r="A210" s="196" t="str">
        <f>Motorista!A210</f>
        <v>AGOSTO|20</v>
      </c>
      <c r="B210" s="280">
        <f>[256]VEÍCULO!$D$21</f>
        <v>475200</v>
      </c>
      <c r="C210" s="197">
        <f t="shared" ref="C210" si="308">100*B210/B$8</f>
        <v>213.59607328430931</v>
      </c>
      <c r="D210" s="198">
        <f t="shared" ref="D210" si="309">100*(B210/B209-1)</f>
        <v>2.5101172653614112</v>
      </c>
      <c r="E210" s="198">
        <f t="shared" ref="E210" si="310">100*(B210/B$202-1)</f>
        <v>2.6145992588945566</v>
      </c>
      <c r="F210" s="199">
        <f t="shared" ref="F210" si="311">(100*(B210/B198-1))</f>
        <v>8.3630161039482296</v>
      </c>
      <c r="G210" s="200">
        <f t="shared" ref="G210" si="312">100*(B210/B186-1)</f>
        <v>30.832681739590107</v>
      </c>
      <c r="H210" s="268">
        <f t="shared" si="95"/>
        <v>1.0205092592592593</v>
      </c>
      <c r="I210" s="150"/>
    </row>
    <row r="211" spans="1:9" ht="16.5" customHeight="1" thickBot="1">
      <c r="A211" s="151" t="str">
        <f>Motorista!A211</f>
        <v>SETEMBRO|20</v>
      </c>
      <c r="B211" s="192">
        <f>[259]VEÍCULO!$D$21</f>
        <v>484946</v>
      </c>
      <c r="C211" s="153">
        <f t="shared" ref="C211" si="313">100*B211/B$8</f>
        <v>217.97677052805696</v>
      </c>
      <c r="D211" s="154">
        <f t="shared" ref="D211" si="314">100*(B211/B210-1)</f>
        <v>2.0509259259259283</v>
      </c>
      <c r="E211" s="154">
        <f t="shared" ref="E211" si="315">100*(B211/B$202-1)</f>
        <v>4.7191486788802139</v>
      </c>
      <c r="F211" s="155">
        <f t="shared" ref="F211" si="316">(100*(B211/B199-1))</f>
        <v>10.417515761863228</v>
      </c>
      <c r="G211" s="156">
        <f t="shared" ref="G211" si="317">100*(B211/B187-1)</f>
        <v>32.08712728897072</v>
      </c>
      <c r="H211" s="157">
        <f t="shared" si="95"/>
        <v>1</v>
      </c>
      <c r="I211" s="150"/>
    </row>
    <row r="212" spans="1:9">
      <c r="A212" s="103" t="s">
        <v>18</v>
      </c>
      <c r="B212" s="104"/>
      <c r="C212" s="104"/>
      <c r="D212" s="104"/>
      <c r="E212" s="104"/>
      <c r="F212" s="104"/>
      <c r="G212" s="104"/>
      <c r="H212" s="104"/>
    </row>
    <row r="213" spans="1:9">
      <c r="A213" s="105"/>
      <c r="B213" s="104"/>
      <c r="C213" s="104"/>
      <c r="D213" s="104"/>
      <c r="E213" s="104"/>
      <c r="F213" s="104"/>
      <c r="G213" s="104"/>
      <c r="H213" s="104"/>
    </row>
    <row r="214" spans="1:9">
      <c r="B214" s="104"/>
      <c r="C214" s="104"/>
      <c r="D214" s="104"/>
      <c r="E214" s="104"/>
      <c r="F214" s="104"/>
      <c r="G214" s="104"/>
      <c r="H214" s="104"/>
    </row>
    <row r="215" spans="1:9">
      <c r="B215" s="104"/>
      <c r="C215" s="104"/>
      <c r="D215" s="104"/>
      <c r="E215" s="104"/>
      <c r="F215" s="104"/>
      <c r="G215" s="104"/>
      <c r="H215" s="104"/>
    </row>
    <row r="216" spans="1:9">
      <c r="A216" s="106"/>
      <c r="B216" s="104"/>
      <c r="C216" s="104"/>
      <c r="D216" s="104"/>
      <c r="E216" s="104"/>
      <c r="F216" s="104"/>
      <c r="G216" s="104"/>
      <c r="H216" s="104"/>
    </row>
    <row r="217" spans="1:9">
      <c r="A217" s="106"/>
      <c r="B217" s="107"/>
      <c r="C217" s="107"/>
      <c r="D217" s="108"/>
      <c r="E217" s="107"/>
      <c r="F217" s="104"/>
      <c r="G217" s="104"/>
      <c r="H217" s="104"/>
    </row>
    <row r="218" spans="1:9">
      <c r="B218" s="104"/>
      <c r="C218" s="104"/>
      <c r="D218" s="104"/>
      <c r="E218" s="104"/>
      <c r="F218" s="104"/>
      <c r="G218" s="104"/>
      <c r="H218" s="104"/>
    </row>
    <row r="219" spans="1:9">
      <c r="B219" s="104"/>
      <c r="C219" s="104"/>
      <c r="D219" s="104"/>
      <c r="E219" s="104"/>
      <c r="F219" s="104"/>
      <c r="G219" s="104"/>
      <c r="H219" s="104"/>
    </row>
    <row r="220" spans="1:9">
      <c r="B220" s="104"/>
      <c r="C220" s="104"/>
      <c r="D220" s="104"/>
      <c r="E220" s="104"/>
      <c r="F220" s="104"/>
      <c r="G220" s="104"/>
      <c r="H220" s="104"/>
    </row>
    <row r="221" spans="1:9">
      <c r="B221" s="104"/>
      <c r="C221" s="104"/>
      <c r="D221" s="104"/>
      <c r="E221" s="104"/>
      <c r="F221" s="104"/>
      <c r="G221" s="104"/>
      <c r="H221" s="104"/>
    </row>
    <row r="222" spans="1:9">
      <c r="B222" s="104"/>
      <c r="C222" s="104"/>
      <c r="D222" s="104"/>
      <c r="E222" s="104"/>
      <c r="F222" s="104"/>
      <c r="G222" s="104"/>
      <c r="H222" s="104"/>
    </row>
    <row r="223" spans="1:9">
      <c r="B223" s="104"/>
      <c r="C223" s="104"/>
      <c r="D223" s="104"/>
      <c r="E223" s="104"/>
      <c r="F223" s="104"/>
      <c r="G223" s="104"/>
      <c r="H223" s="104"/>
    </row>
    <row r="224" spans="1:9">
      <c r="B224" s="104"/>
      <c r="C224" s="104"/>
      <c r="D224" s="104"/>
      <c r="E224" s="104"/>
      <c r="F224" s="104"/>
      <c r="G224" s="104"/>
      <c r="H224" s="104"/>
    </row>
    <row r="225" spans="1:8">
      <c r="B225" s="104"/>
      <c r="C225" s="104"/>
      <c r="D225" s="104"/>
      <c r="E225" s="104"/>
      <c r="F225" s="104"/>
      <c r="G225" s="104"/>
      <c r="H225" s="104"/>
    </row>
    <row r="226" spans="1:8">
      <c r="B226" s="104"/>
      <c r="C226" s="104"/>
      <c r="D226" s="104"/>
      <c r="E226" s="104"/>
      <c r="F226" s="104"/>
      <c r="G226" s="104"/>
      <c r="H226" s="104"/>
    </row>
    <row r="227" spans="1:8">
      <c r="B227" s="104"/>
      <c r="C227" s="104"/>
      <c r="D227" s="104"/>
      <c r="E227" s="104"/>
      <c r="F227" s="104"/>
      <c r="G227" s="104"/>
      <c r="H227" s="104"/>
    </row>
    <row r="228" spans="1:8">
      <c r="B228" s="104"/>
      <c r="C228" s="104"/>
      <c r="D228" s="104"/>
      <c r="E228" s="104"/>
      <c r="F228" s="104"/>
      <c r="G228" s="104"/>
      <c r="H228" s="104"/>
    </row>
    <row r="229" spans="1:8">
      <c r="B229" s="104"/>
      <c r="C229" s="104"/>
      <c r="D229" s="104"/>
      <c r="E229" s="104"/>
      <c r="F229" s="104"/>
      <c r="G229" s="104"/>
      <c r="H229" s="104"/>
    </row>
    <row r="230" spans="1:8">
      <c r="A230" s="105"/>
      <c r="B230" s="104"/>
      <c r="C230" s="104"/>
      <c r="D230" s="104"/>
      <c r="E230" s="104"/>
      <c r="F230" s="104"/>
      <c r="G230" s="104"/>
      <c r="H230" s="104"/>
    </row>
    <row r="231" spans="1:8">
      <c r="B231" s="104"/>
      <c r="C231" s="104"/>
      <c r="D231" s="104"/>
      <c r="E231" s="104"/>
      <c r="F231" s="104"/>
      <c r="G231" s="104"/>
      <c r="H231" s="104"/>
    </row>
    <row r="232" spans="1:8">
      <c r="B232" s="104"/>
      <c r="C232" s="104"/>
      <c r="D232" s="104"/>
      <c r="E232" s="104"/>
      <c r="F232" s="104"/>
      <c r="G232" s="104"/>
      <c r="H232" s="104"/>
    </row>
    <row r="233" spans="1:8">
      <c r="A233" s="106"/>
      <c r="B233" s="104"/>
      <c r="C233" s="104"/>
      <c r="D233" s="104"/>
      <c r="E233" s="104"/>
      <c r="F233" s="104"/>
      <c r="G233" s="104"/>
      <c r="H233" s="104"/>
    </row>
    <row r="234" spans="1:8">
      <c r="A234" s="106"/>
      <c r="B234" s="107"/>
      <c r="C234" s="107"/>
      <c r="D234" s="108"/>
      <c r="E234" s="107"/>
      <c r="F234" s="104"/>
      <c r="G234" s="104"/>
      <c r="H234" s="104"/>
    </row>
    <row r="235" spans="1:8">
      <c r="B235" s="104"/>
      <c r="C235" s="104"/>
      <c r="D235" s="104"/>
      <c r="E235" s="104"/>
      <c r="F235" s="104"/>
      <c r="G235" s="104"/>
      <c r="H235" s="104"/>
    </row>
    <row r="236" spans="1:8">
      <c r="B236" s="104"/>
      <c r="C236" s="104"/>
      <c r="D236" s="104"/>
      <c r="E236" s="104"/>
      <c r="F236" s="104"/>
      <c r="G236" s="104"/>
      <c r="H236" s="104"/>
    </row>
    <row r="237" spans="1:8">
      <c r="B237" s="104"/>
      <c r="C237" s="104"/>
      <c r="D237" s="104"/>
      <c r="E237" s="104"/>
      <c r="F237" s="104"/>
      <c r="G237" s="104"/>
      <c r="H237" s="104"/>
    </row>
    <row r="238" spans="1:8">
      <c r="B238" s="104"/>
      <c r="C238" s="104"/>
      <c r="D238" s="104"/>
      <c r="E238" s="104"/>
      <c r="F238" s="104"/>
      <c r="G238" s="104"/>
      <c r="H238" s="104"/>
    </row>
    <row r="239" spans="1:8">
      <c r="B239" s="104"/>
      <c r="C239" s="104"/>
      <c r="D239" s="104"/>
      <c r="E239" s="104"/>
      <c r="F239" s="104"/>
      <c r="G239" s="104"/>
      <c r="H239" s="104"/>
    </row>
    <row r="240" spans="1:8">
      <c r="B240" s="104"/>
      <c r="C240" s="104"/>
      <c r="D240" s="104"/>
      <c r="E240" s="104"/>
      <c r="F240" s="104"/>
      <c r="G240" s="104"/>
      <c r="H240" s="104"/>
    </row>
    <row r="241" spans="1:8">
      <c r="B241" s="104"/>
      <c r="C241" s="104"/>
      <c r="D241" s="104"/>
      <c r="E241" s="104"/>
      <c r="F241" s="104"/>
      <c r="G241" s="104"/>
      <c r="H241" s="104"/>
    </row>
    <row r="242" spans="1:8">
      <c r="B242" s="104"/>
      <c r="C242" s="104"/>
      <c r="D242" s="104"/>
      <c r="E242" s="104"/>
      <c r="F242" s="104"/>
      <c r="G242" s="104"/>
      <c r="H242" s="104"/>
    </row>
    <row r="243" spans="1:8">
      <c r="B243" s="104"/>
      <c r="C243" s="104"/>
      <c r="D243" s="104"/>
      <c r="E243" s="104"/>
      <c r="F243" s="104"/>
      <c r="G243" s="104"/>
      <c r="H243" s="104"/>
    </row>
    <row r="244" spans="1:8">
      <c r="B244" s="104"/>
      <c r="C244" s="104"/>
      <c r="D244" s="104"/>
      <c r="E244" s="104"/>
      <c r="F244" s="104"/>
      <c r="G244" s="104"/>
      <c r="H244" s="104"/>
    </row>
    <row r="245" spans="1:8">
      <c r="B245" s="104"/>
      <c r="C245" s="104"/>
      <c r="D245" s="104"/>
      <c r="E245" s="104"/>
      <c r="F245" s="104"/>
      <c r="G245" s="104"/>
      <c r="H245" s="104"/>
    </row>
    <row r="246" spans="1:8">
      <c r="B246" s="104"/>
      <c r="C246" s="104"/>
      <c r="D246" s="104"/>
      <c r="E246" s="104"/>
      <c r="F246" s="104"/>
      <c r="G246" s="104"/>
      <c r="H246" s="104"/>
    </row>
    <row r="247" spans="1:8">
      <c r="A247" s="105"/>
      <c r="B247" s="104"/>
      <c r="C247" s="104"/>
      <c r="D247" s="104"/>
      <c r="E247" s="104"/>
      <c r="F247" s="104"/>
      <c r="G247" s="104"/>
      <c r="H247" s="104"/>
    </row>
    <row r="248" spans="1:8">
      <c r="B248" s="104"/>
      <c r="C248" s="104"/>
      <c r="D248" s="104"/>
      <c r="E248" s="104"/>
      <c r="F248" s="104"/>
      <c r="G248" s="104"/>
      <c r="H248" s="104"/>
    </row>
    <row r="249" spans="1:8">
      <c r="B249" s="104"/>
      <c r="C249" s="104"/>
      <c r="D249" s="104"/>
      <c r="E249" s="104"/>
      <c r="F249" s="104"/>
      <c r="G249" s="104"/>
      <c r="H249" s="104"/>
    </row>
    <row r="250" spans="1:8">
      <c r="B250" s="104"/>
      <c r="C250" s="104"/>
      <c r="D250" s="104"/>
      <c r="E250" s="104"/>
      <c r="F250" s="104"/>
      <c r="G250" s="104"/>
      <c r="H250" s="104"/>
    </row>
    <row r="251" spans="1:8">
      <c r="B251" s="104"/>
      <c r="C251" s="104"/>
      <c r="D251" s="104"/>
      <c r="E251" s="104"/>
      <c r="F251" s="104"/>
      <c r="G251" s="104"/>
      <c r="H251" s="104"/>
    </row>
    <row r="252" spans="1:8">
      <c r="B252" s="104"/>
      <c r="C252" s="104"/>
      <c r="D252" s="104"/>
      <c r="E252" s="104"/>
      <c r="F252" s="104"/>
      <c r="G252" s="104"/>
      <c r="H252" s="104"/>
    </row>
    <row r="253" spans="1:8">
      <c r="B253" s="104"/>
      <c r="C253" s="104"/>
      <c r="D253" s="104"/>
      <c r="E253" s="104"/>
      <c r="F253" s="104"/>
      <c r="G253" s="104"/>
      <c r="H253" s="104"/>
    </row>
    <row r="254" spans="1:8">
      <c r="B254" s="104"/>
      <c r="C254" s="104"/>
      <c r="D254" s="104"/>
      <c r="E254" s="104"/>
      <c r="F254" s="104"/>
      <c r="G254" s="104"/>
      <c r="H254" s="104"/>
    </row>
    <row r="255" spans="1:8">
      <c r="B255" s="104"/>
      <c r="C255" s="104"/>
      <c r="D255" s="104"/>
      <c r="E255" s="104"/>
      <c r="F255" s="104"/>
      <c r="G255" s="104"/>
      <c r="H255" s="104"/>
    </row>
    <row r="256" spans="1:8">
      <c r="B256" s="104"/>
      <c r="C256" s="104"/>
      <c r="D256" s="104"/>
      <c r="E256" s="104"/>
      <c r="F256" s="104"/>
      <c r="G256" s="104"/>
      <c r="H256" s="104"/>
    </row>
    <row r="257" spans="2:8">
      <c r="B257" s="104"/>
      <c r="C257" s="104"/>
      <c r="D257" s="104"/>
      <c r="E257" s="104"/>
      <c r="F257" s="104"/>
      <c r="G257" s="104"/>
      <c r="H257" s="104"/>
    </row>
    <row r="258" spans="2:8">
      <c r="B258" s="104"/>
      <c r="C258" s="104"/>
      <c r="D258" s="104"/>
      <c r="E258" s="104"/>
      <c r="F258" s="104"/>
      <c r="G258" s="104"/>
      <c r="H258" s="104"/>
    </row>
    <row r="259" spans="2:8">
      <c r="B259" s="104"/>
      <c r="C259" s="104"/>
      <c r="D259" s="104"/>
      <c r="E259" s="104"/>
      <c r="F259" s="104"/>
      <c r="G259" s="104"/>
      <c r="H259" s="104"/>
    </row>
    <row r="260" spans="2:8">
      <c r="B260" s="104"/>
      <c r="C260" s="104"/>
      <c r="D260" s="104"/>
      <c r="E260" s="104"/>
      <c r="F260" s="104"/>
      <c r="G260" s="104"/>
      <c r="H260" s="104"/>
    </row>
    <row r="261" spans="2:8">
      <c r="B261" s="104"/>
      <c r="C261" s="104"/>
      <c r="D261" s="104"/>
      <c r="E261" s="104"/>
      <c r="F261" s="104"/>
      <c r="G261" s="104"/>
      <c r="H261" s="104"/>
    </row>
    <row r="262" spans="2:8">
      <c r="B262" s="104"/>
      <c r="C262" s="104"/>
      <c r="D262" s="104"/>
      <c r="E262" s="104"/>
      <c r="F262" s="104"/>
      <c r="G262" s="104"/>
      <c r="H262" s="104"/>
    </row>
    <row r="263" spans="2:8">
      <c r="B263" s="104"/>
      <c r="C263" s="104"/>
      <c r="D263" s="104"/>
      <c r="E263" s="104"/>
      <c r="F263" s="104"/>
      <c r="G263" s="104"/>
      <c r="H263" s="104"/>
    </row>
    <row r="264" spans="2:8">
      <c r="B264" s="104"/>
      <c r="C264" s="104"/>
      <c r="D264" s="104"/>
      <c r="E264" s="104"/>
      <c r="F264" s="104"/>
      <c r="G264" s="104"/>
      <c r="H264" s="104"/>
    </row>
    <row r="265" spans="2:8">
      <c r="B265" s="104"/>
      <c r="C265" s="104"/>
      <c r="D265" s="104"/>
      <c r="E265" s="104"/>
      <c r="F265" s="104"/>
      <c r="G265" s="104"/>
      <c r="H265" s="104"/>
    </row>
    <row r="266" spans="2:8">
      <c r="B266" s="104"/>
      <c r="C266" s="104"/>
      <c r="D266" s="104"/>
      <c r="E266" s="104"/>
      <c r="F266" s="104"/>
      <c r="G266" s="104"/>
      <c r="H266" s="104"/>
    </row>
    <row r="267" spans="2:8">
      <c r="B267" s="104"/>
      <c r="C267" s="104"/>
      <c r="D267" s="104"/>
      <c r="E267" s="104"/>
      <c r="F267" s="104"/>
      <c r="G267" s="104"/>
      <c r="H267" s="104"/>
    </row>
    <row r="268" spans="2:8">
      <c r="B268" s="104"/>
      <c r="C268" s="104"/>
      <c r="D268" s="104"/>
      <c r="E268" s="104"/>
      <c r="F268" s="104"/>
      <c r="G268" s="104"/>
      <c r="H268" s="104"/>
    </row>
    <row r="269" spans="2:8">
      <c r="B269" s="104"/>
      <c r="C269" s="104"/>
      <c r="D269" s="104"/>
      <c r="E269" s="104"/>
      <c r="F269" s="104"/>
      <c r="G269" s="104"/>
      <c r="H269" s="104"/>
    </row>
    <row r="270" spans="2:8">
      <c r="B270" s="104"/>
      <c r="C270" s="104"/>
      <c r="D270" s="104"/>
      <c r="E270" s="104"/>
      <c r="F270" s="104"/>
      <c r="G270" s="104"/>
      <c r="H270" s="104"/>
    </row>
    <row r="271" spans="2:8">
      <c r="B271" s="104"/>
      <c r="C271" s="104"/>
      <c r="D271" s="104"/>
      <c r="E271" s="104"/>
      <c r="F271" s="104"/>
      <c r="G271" s="104"/>
      <c r="H271" s="104"/>
    </row>
    <row r="272" spans="2:8">
      <c r="B272" s="104"/>
      <c r="C272" s="104"/>
      <c r="D272" s="104"/>
      <c r="E272" s="104"/>
      <c r="F272" s="104"/>
      <c r="G272" s="104"/>
      <c r="H272" s="104"/>
    </row>
    <row r="273" spans="2:8">
      <c r="B273" s="104"/>
      <c r="C273" s="104"/>
      <c r="D273" s="104"/>
      <c r="E273" s="104"/>
      <c r="F273" s="104"/>
      <c r="G273" s="104"/>
      <c r="H273" s="104"/>
    </row>
    <row r="274" spans="2:8">
      <c r="B274" s="104"/>
      <c r="C274" s="104"/>
      <c r="D274" s="104"/>
      <c r="E274" s="104"/>
      <c r="F274" s="104"/>
      <c r="G274" s="104"/>
      <c r="H274" s="104"/>
    </row>
    <row r="275" spans="2:8">
      <c r="B275" s="104"/>
      <c r="C275" s="104"/>
      <c r="D275" s="104"/>
      <c r="E275" s="104"/>
      <c r="F275" s="104"/>
      <c r="G275" s="104"/>
      <c r="H275" s="104"/>
    </row>
    <row r="276" spans="2:8">
      <c r="B276" s="104"/>
      <c r="C276" s="104"/>
      <c r="D276" s="104"/>
      <c r="E276" s="104"/>
      <c r="F276" s="104"/>
      <c r="G276" s="104"/>
      <c r="H276" s="104"/>
    </row>
    <row r="277" spans="2:8">
      <c r="B277" s="104"/>
      <c r="C277" s="104"/>
      <c r="D277" s="104"/>
      <c r="E277" s="104"/>
      <c r="F277" s="104"/>
      <c r="G277" s="104"/>
      <c r="H277" s="104"/>
    </row>
    <row r="278" spans="2:8">
      <c r="B278" s="104"/>
      <c r="C278" s="104"/>
      <c r="D278" s="104"/>
      <c r="E278" s="104"/>
      <c r="F278" s="104"/>
      <c r="G278" s="104"/>
      <c r="H278" s="104"/>
    </row>
    <row r="279" spans="2:8">
      <c r="B279" s="104"/>
      <c r="C279" s="104"/>
      <c r="D279" s="104"/>
      <c r="E279" s="104"/>
      <c r="F279" s="104"/>
      <c r="G279" s="104"/>
      <c r="H279" s="104"/>
    </row>
    <row r="280" spans="2:8">
      <c r="B280" s="104"/>
      <c r="C280" s="104"/>
      <c r="D280" s="104"/>
      <c r="E280" s="104"/>
      <c r="F280" s="104"/>
      <c r="G280" s="104"/>
      <c r="H280" s="104"/>
    </row>
    <row r="281" spans="2:8">
      <c r="B281" s="104"/>
      <c r="C281" s="104"/>
      <c r="D281" s="104"/>
      <c r="E281" s="104"/>
      <c r="F281" s="104"/>
      <c r="G281" s="104"/>
      <c r="H281" s="104"/>
    </row>
    <row r="282" spans="2:8">
      <c r="B282" s="104"/>
      <c r="C282" s="104"/>
      <c r="D282" s="104"/>
      <c r="E282" s="104"/>
      <c r="F282" s="104"/>
      <c r="G282" s="104"/>
      <c r="H282" s="104"/>
    </row>
    <row r="283" spans="2:8">
      <c r="B283" s="104"/>
      <c r="C283" s="104"/>
      <c r="D283" s="104"/>
      <c r="E283" s="104"/>
      <c r="F283" s="104"/>
      <c r="G283" s="104"/>
      <c r="H283" s="104"/>
    </row>
    <row r="284" spans="2:8">
      <c r="B284" s="104"/>
      <c r="C284" s="104"/>
      <c r="D284" s="104"/>
      <c r="E284" s="104"/>
      <c r="F284" s="104"/>
      <c r="G284" s="104"/>
      <c r="H284" s="104"/>
    </row>
    <row r="285" spans="2:8">
      <c r="B285" s="104"/>
      <c r="C285" s="104"/>
      <c r="D285" s="104"/>
      <c r="E285" s="104"/>
      <c r="F285" s="104"/>
      <c r="G285" s="104"/>
      <c r="H285" s="104"/>
    </row>
    <row r="286" spans="2:8">
      <c r="B286" s="104"/>
      <c r="C286" s="104"/>
      <c r="D286" s="104"/>
      <c r="E286" s="104"/>
      <c r="F286" s="104"/>
      <c r="G286" s="104"/>
      <c r="H286" s="104"/>
    </row>
    <row r="287" spans="2:8">
      <c r="B287" s="104"/>
      <c r="C287" s="104"/>
      <c r="D287" s="104"/>
      <c r="E287" s="104"/>
      <c r="F287" s="104"/>
      <c r="G287" s="104"/>
      <c r="H287" s="104"/>
    </row>
    <row r="288" spans="2:8">
      <c r="B288" s="104"/>
      <c r="C288" s="104"/>
      <c r="D288" s="104"/>
      <c r="E288" s="104"/>
      <c r="F288" s="104"/>
      <c r="G288" s="104"/>
      <c r="H288" s="104"/>
    </row>
    <row r="289" spans="2:8">
      <c r="B289" s="104"/>
      <c r="C289" s="104"/>
      <c r="D289" s="104"/>
      <c r="E289" s="104"/>
      <c r="F289" s="104"/>
      <c r="G289" s="104"/>
      <c r="H289" s="104"/>
    </row>
    <row r="290" spans="2:8">
      <c r="B290" s="104"/>
      <c r="C290" s="104"/>
      <c r="D290" s="104"/>
      <c r="E290" s="104"/>
      <c r="F290" s="104"/>
      <c r="G290" s="104"/>
      <c r="H290" s="104"/>
    </row>
    <row r="291" spans="2:8">
      <c r="B291" s="104"/>
      <c r="C291" s="104"/>
      <c r="D291" s="104"/>
      <c r="E291" s="104"/>
      <c r="F291" s="104"/>
      <c r="G291" s="104"/>
      <c r="H291" s="104"/>
    </row>
    <row r="292" spans="2:8">
      <c r="B292" s="104"/>
      <c r="C292" s="104"/>
      <c r="D292" s="104"/>
      <c r="E292" s="104"/>
      <c r="F292" s="104"/>
      <c r="G292" s="104"/>
      <c r="H292" s="104"/>
    </row>
    <row r="293" spans="2:8">
      <c r="B293" s="104"/>
      <c r="C293" s="104"/>
      <c r="D293" s="104"/>
      <c r="E293" s="104"/>
      <c r="F293" s="104"/>
      <c r="G293" s="104"/>
      <c r="H293" s="104"/>
    </row>
    <row r="294" spans="2:8">
      <c r="B294" s="104"/>
      <c r="C294" s="104"/>
      <c r="D294" s="104"/>
      <c r="E294" s="104"/>
      <c r="F294" s="104"/>
      <c r="G294" s="104"/>
      <c r="H294" s="104"/>
    </row>
    <row r="295" spans="2:8">
      <c r="B295" s="104"/>
      <c r="C295" s="104"/>
      <c r="D295" s="104"/>
      <c r="E295" s="104"/>
      <c r="F295" s="104"/>
      <c r="G295" s="104"/>
      <c r="H295" s="104"/>
    </row>
    <row r="296" spans="2:8">
      <c r="B296" s="104"/>
      <c r="C296" s="104"/>
      <c r="D296" s="104"/>
      <c r="E296" s="104"/>
      <c r="F296" s="104"/>
      <c r="G296" s="104"/>
      <c r="H296" s="104"/>
    </row>
    <row r="297" spans="2:8">
      <c r="B297" s="104"/>
      <c r="C297" s="104"/>
      <c r="D297" s="104"/>
      <c r="E297" s="104"/>
      <c r="F297" s="104"/>
      <c r="G297" s="104"/>
      <c r="H297" s="104"/>
    </row>
    <row r="298" spans="2:8">
      <c r="B298" s="104"/>
      <c r="C298" s="104"/>
      <c r="D298" s="104"/>
      <c r="E298" s="104"/>
      <c r="F298" s="104"/>
      <c r="G298" s="104"/>
      <c r="H298" s="104"/>
    </row>
    <row r="299" spans="2:8">
      <c r="B299" s="104"/>
      <c r="C299" s="104"/>
      <c r="D299" s="104"/>
      <c r="E299" s="104"/>
      <c r="F299" s="104"/>
      <c r="G299" s="104"/>
      <c r="H299" s="104"/>
    </row>
    <row r="300" spans="2:8">
      <c r="B300" s="104"/>
      <c r="C300" s="104"/>
      <c r="D300" s="104"/>
      <c r="E300" s="104"/>
      <c r="F300" s="104"/>
      <c r="G300" s="104"/>
      <c r="H300" s="104"/>
    </row>
    <row r="301" spans="2:8">
      <c r="B301" s="104"/>
      <c r="C301" s="104"/>
      <c r="D301" s="104"/>
      <c r="E301" s="104"/>
      <c r="F301" s="104"/>
      <c r="G301" s="104"/>
      <c r="H301" s="104"/>
    </row>
    <row r="302" spans="2:8">
      <c r="B302" s="104"/>
      <c r="C302" s="104"/>
      <c r="D302" s="104"/>
      <c r="E302" s="104"/>
      <c r="F302" s="104"/>
      <c r="G302" s="104"/>
      <c r="H302" s="104"/>
    </row>
    <row r="303" spans="2:8">
      <c r="B303" s="104"/>
      <c r="C303" s="104"/>
      <c r="D303" s="104"/>
      <c r="E303" s="104"/>
      <c r="F303" s="104"/>
      <c r="G303" s="104"/>
      <c r="H303" s="104"/>
    </row>
    <row r="304" spans="2:8">
      <c r="B304" s="104"/>
      <c r="C304" s="104"/>
      <c r="D304" s="104"/>
      <c r="E304" s="104"/>
      <c r="F304" s="104"/>
      <c r="G304" s="104"/>
      <c r="H304" s="104"/>
    </row>
    <row r="305" spans="2:8">
      <c r="B305" s="104"/>
      <c r="C305" s="104"/>
      <c r="D305" s="104"/>
      <c r="E305" s="104"/>
      <c r="F305" s="104"/>
      <c r="G305" s="104"/>
      <c r="H305" s="104"/>
    </row>
    <row r="306" spans="2:8">
      <c r="B306" s="104"/>
      <c r="C306" s="104"/>
      <c r="D306" s="104"/>
      <c r="E306" s="104"/>
      <c r="F306" s="104"/>
      <c r="G306" s="104"/>
      <c r="H306" s="104"/>
    </row>
    <row r="307" spans="2:8">
      <c r="B307" s="104"/>
      <c r="C307" s="104"/>
      <c r="D307" s="104"/>
      <c r="E307" s="104"/>
      <c r="F307" s="104"/>
      <c r="G307" s="104"/>
      <c r="H307" s="104"/>
    </row>
    <row r="308" spans="2:8">
      <c r="B308" s="104"/>
      <c r="C308" s="104"/>
      <c r="D308" s="104"/>
      <c r="E308" s="104"/>
      <c r="F308" s="104"/>
      <c r="G308" s="104"/>
      <c r="H308" s="104"/>
    </row>
    <row r="309" spans="2:8">
      <c r="B309" s="104"/>
      <c r="C309" s="104"/>
      <c r="D309" s="104"/>
      <c r="E309" s="104"/>
      <c r="F309" s="104"/>
      <c r="G309" s="104"/>
      <c r="H309" s="104"/>
    </row>
    <row r="310" spans="2:8">
      <c r="B310" s="104"/>
      <c r="C310" s="104"/>
      <c r="D310" s="104"/>
      <c r="E310" s="104"/>
      <c r="F310" s="104"/>
      <c r="G310" s="104"/>
      <c r="H310" s="104"/>
    </row>
    <row r="311" spans="2:8">
      <c r="B311" s="104"/>
      <c r="C311" s="104"/>
      <c r="D311" s="104"/>
      <c r="E311" s="104"/>
      <c r="F311" s="104"/>
      <c r="G311" s="104"/>
      <c r="H311" s="104"/>
    </row>
    <row r="312" spans="2:8">
      <c r="B312" s="104"/>
      <c r="C312" s="104"/>
      <c r="D312" s="104"/>
      <c r="E312" s="104"/>
      <c r="F312" s="104"/>
      <c r="G312" s="104"/>
      <c r="H312" s="104"/>
    </row>
    <row r="313" spans="2:8">
      <c r="B313" s="104"/>
      <c r="C313" s="104"/>
      <c r="D313" s="104"/>
      <c r="E313" s="104"/>
      <c r="F313" s="104"/>
      <c r="G313" s="104"/>
      <c r="H313" s="104"/>
    </row>
    <row r="314" spans="2:8">
      <c r="B314" s="104"/>
      <c r="C314" s="104"/>
      <c r="D314" s="104"/>
      <c r="E314" s="104"/>
      <c r="F314" s="104"/>
      <c r="G314" s="104"/>
      <c r="H314" s="104"/>
    </row>
    <row r="315" spans="2:8">
      <c r="B315" s="104"/>
      <c r="C315" s="104"/>
      <c r="D315" s="104"/>
      <c r="E315" s="104"/>
      <c r="F315" s="104"/>
      <c r="G315" s="104"/>
      <c r="H315" s="104"/>
    </row>
    <row r="316" spans="2:8">
      <c r="B316" s="104"/>
      <c r="C316" s="104"/>
      <c r="D316" s="104"/>
      <c r="E316" s="104"/>
      <c r="F316" s="104"/>
      <c r="G316" s="104"/>
      <c r="H316" s="104"/>
    </row>
    <row r="317" spans="2:8">
      <c r="B317" s="104"/>
      <c r="C317" s="104"/>
      <c r="D317" s="104"/>
      <c r="E317" s="104"/>
      <c r="F317" s="104"/>
      <c r="G317" s="104"/>
      <c r="H317" s="104"/>
    </row>
    <row r="318" spans="2:8">
      <c r="B318" s="104"/>
      <c r="C318" s="104"/>
      <c r="D318" s="104"/>
      <c r="E318" s="104"/>
      <c r="F318" s="104"/>
      <c r="G318" s="104"/>
      <c r="H318" s="104"/>
    </row>
    <row r="319" spans="2:8">
      <c r="B319" s="104"/>
      <c r="C319" s="104"/>
      <c r="D319" s="104"/>
      <c r="E319" s="104"/>
      <c r="F319" s="104"/>
      <c r="G319" s="104"/>
      <c r="H319" s="104"/>
    </row>
    <row r="320" spans="2:8">
      <c r="B320" s="104"/>
      <c r="C320" s="104"/>
      <c r="D320" s="104"/>
      <c r="E320" s="104"/>
      <c r="F320" s="104"/>
      <c r="G320" s="104"/>
      <c r="H320" s="104"/>
    </row>
    <row r="321" spans="2:8">
      <c r="B321" s="104"/>
      <c r="C321" s="104"/>
      <c r="D321" s="104"/>
      <c r="E321" s="104"/>
      <c r="F321" s="104"/>
      <c r="G321" s="104"/>
      <c r="H321" s="104"/>
    </row>
    <row r="322" spans="2:8">
      <c r="B322" s="104"/>
      <c r="C322" s="104"/>
      <c r="D322" s="104"/>
      <c r="E322" s="104"/>
      <c r="F322" s="104"/>
      <c r="G322" s="104"/>
      <c r="H322" s="104"/>
    </row>
    <row r="323" spans="2:8">
      <c r="B323" s="104"/>
      <c r="C323" s="104"/>
      <c r="D323" s="104"/>
      <c r="E323" s="104"/>
      <c r="F323" s="104"/>
      <c r="G323" s="104"/>
      <c r="H323" s="104"/>
    </row>
    <row r="324" spans="2:8">
      <c r="B324" s="104"/>
      <c r="C324" s="104"/>
      <c r="D324" s="104"/>
      <c r="E324" s="104"/>
      <c r="F324" s="104"/>
      <c r="G324" s="104"/>
      <c r="H324" s="104"/>
    </row>
    <row r="325" spans="2:8">
      <c r="B325" s="104"/>
      <c r="C325" s="104"/>
      <c r="D325" s="104"/>
      <c r="E325" s="104"/>
      <c r="F325" s="104"/>
      <c r="G325" s="104"/>
      <c r="H325" s="104"/>
    </row>
    <row r="326" spans="2:8">
      <c r="B326" s="104"/>
      <c r="C326" s="104"/>
      <c r="D326" s="104"/>
      <c r="E326" s="104"/>
      <c r="F326" s="104"/>
      <c r="G326" s="104"/>
      <c r="H326" s="104"/>
    </row>
    <row r="327" spans="2:8">
      <c r="B327" s="104"/>
      <c r="C327" s="104"/>
      <c r="D327" s="104"/>
      <c r="E327" s="104"/>
      <c r="F327" s="104"/>
      <c r="G327" s="104"/>
      <c r="H327" s="104"/>
    </row>
    <row r="328" spans="2:8">
      <c r="B328" s="104"/>
      <c r="C328" s="104"/>
      <c r="D328" s="104"/>
      <c r="E328" s="104"/>
      <c r="F328" s="104"/>
      <c r="G328" s="104"/>
      <c r="H328" s="104"/>
    </row>
    <row r="329" spans="2:8">
      <c r="B329" s="104"/>
      <c r="C329" s="104"/>
      <c r="D329" s="104"/>
      <c r="E329" s="104"/>
      <c r="F329" s="104"/>
      <c r="G329" s="104"/>
      <c r="H329" s="104"/>
    </row>
    <row r="330" spans="2:8">
      <c r="B330" s="104"/>
      <c r="C330" s="104"/>
      <c r="D330" s="104"/>
      <c r="E330" s="104"/>
      <c r="F330" s="104"/>
      <c r="G330" s="104"/>
      <c r="H330" s="104"/>
    </row>
    <row r="331" spans="2:8">
      <c r="B331" s="104"/>
      <c r="C331" s="104"/>
      <c r="D331" s="104"/>
      <c r="E331" s="104"/>
      <c r="F331" s="104"/>
      <c r="G331" s="104"/>
      <c r="H331" s="104"/>
    </row>
    <row r="332" spans="2:8">
      <c r="B332" s="104"/>
      <c r="C332" s="104"/>
      <c r="D332" s="104"/>
      <c r="E332" s="104"/>
      <c r="F332" s="104"/>
      <c r="G332" s="104"/>
      <c r="H332" s="104"/>
    </row>
    <row r="333" spans="2:8">
      <c r="B333" s="104"/>
      <c r="C333" s="104"/>
      <c r="D333" s="104"/>
      <c r="E333" s="104"/>
      <c r="F333" s="104"/>
      <c r="G333" s="104"/>
      <c r="H333" s="104"/>
    </row>
    <row r="334" spans="2:8">
      <c r="B334" s="104"/>
      <c r="C334" s="104"/>
      <c r="D334" s="104"/>
      <c r="E334" s="104"/>
      <c r="F334" s="104"/>
      <c r="G334" s="104"/>
      <c r="H334" s="104"/>
    </row>
    <row r="335" spans="2:8">
      <c r="B335" s="104"/>
      <c r="C335" s="104"/>
      <c r="D335" s="104"/>
      <c r="E335" s="104"/>
      <c r="F335" s="104"/>
      <c r="G335" s="104"/>
      <c r="H335" s="104"/>
    </row>
    <row r="336" spans="2:8">
      <c r="B336" s="104"/>
      <c r="C336" s="104"/>
      <c r="D336" s="104"/>
      <c r="E336" s="104"/>
      <c r="F336" s="104"/>
      <c r="G336" s="104"/>
      <c r="H336" s="104"/>
    </row>
    <row r="337" spans="2:8">
      <c r="B337" s="104"/>
      <c r="C337" s="104"/>
      <c r="D337" s="104"/>
      <c r="E337" s="104"/>
      <c r="F337" s="104"/>
      <c r="G337" s="104"/>
      <c r="H337" s="104"/>
    </row>
    <row r="338" spans="2:8">
      <c r="B338" s="104"/>
      <c r="C338" s="104"/>
      <c r="D338" s="104"/>
      <c r="E338" s="104"/>
      <c r="F338" s="104"/>
      <c r="G338" s="104"/>
      <c r="H338" s="104"/>
    </row>
    <row r="339" spans="2:8">
      <c r="B339" s="104"/>
      <c r="C339" s="104"/>
      <c r="D339" s="104"/>
      <c r="E339" s="104"/>
      <c r="F339" s="104"/>
      <c r="G339" s="104"/>
      <c r="H339" s="104"/>
    </row>
    <row r="340" spans="2:8">
      <c r="B340" s="104"/>
      <c r="C340" s="104"/>
      <c r="D340" s="104"/>
      <c r="E340" s="104"/>
      <c r="F340" s="104"/>
      <c r="G340" s="104"/>
      <c r="H340" s="104"/>
    </row>
    <row r="341" spans="2:8">
      <c r="B341" s="104"/>
      <c r="C341" s="104"/>
      <c r="D341" s="104"/>
      <c r="E341" s="104"/>
      <c r="F341" s="104"/>
      <c r="G341" s="104"/>
      <c r="H341" s="104"/>
    </row>
    <row r="342" spans="2:8">
      <c r="B342" s="104"/>
      <c r="C342" s="104"/>
      <c r="D342" s="104"/>
      <c r="E342" s="104"/>
      <c r="F342" s="104"/>
      <c r="G342" s="104"/>
      <c r="H342" s="104"/>
    </row>
    <row r="343" spans="2:8">
      <c r="B343" s="104"/>
      <c r="C343" s="104"/>
      <c r="D343" s="104"/>
      <c r="E343" s="104"/>
      <c r="F343" s="104"/>
      <c r="G343" s="104"/>
      <c r="H343" s="104"/>
    </row>
    <row r="344" spans="2:8">
      <c r="B344" s="104"/>
      <c r="C344" s="104"/>
      <c r="D344" s="104"/>
      <c r="E344" s="104"/>
      <c r="F344" s="104"/>
      <c r="G344" s="104"/>
      <c r="H344" s="104"/>
    </row>
    <row r="345" spans="2:8">
      <c r="B345" s="104"/>
      <c r="C345" s="104"/>
      <c r="D345" s="104"/>
      <c r="E345" s="104"/>
      <c r="F345" s="104"/>
      <c r="G345" s="104"/>
      <c r="H345" s="104"/>
    </row>
    <row r="346" spans="2:8">
      <c r="B346" s="104"/>
      <c r="C346" s="104"/>
      <c r="D346" s="104"/>
      <c r="E346" s="104"/>
      <c r="F346" s="104"/>
      <c r="G346" s="104"/>
      <c r="H346" s="104"/>
    </row>
    <row r="347" spans="2:8">
      <c r="B347" s="104"/>
      <c r="C347" s="104"/>
      <c r="D347" s="104"/>
      <c r="E347" s="104"/>
      <c r="F347" s="104"/>
      <c r="G347" s="104"/>
      <c r="H347" s="104"/>
    </row>
    <row r="348" spans="2:8">
      <c r="B348" s="104"/>
      <c r="C348" s="104"/>
      <c r="D348" s="104"/>
      <c r="E348" s="104"/>
      <c r="F348" s="104"/>
      <c r="G348" s="104"/>
      <c r="H348" s="104"/>
    </row>
    <row r="349" spans="2:8">
      <c r="B349" s="104"/>
      <c r="C349" s="104"/>
      <c r="D349" s="104"/>
      <c r="E349" s="104"/>
      <c r="F349" s="104"/>
      <c r="G349" s="104"/>
      <c r="H349" s="104"/>
    </row>
    <row r="350" spans="2:8">
      <c r="B350" s="104"/>
      <c r="C350" s="104"/>
      <c r="D350" s="104"/>
      <c r="E350" s="104"/>
      <c r="F350" s="104"/>
      <c r="G350" s="104"/>
      <c r="H350" s="104"/>
    </row>
    <row r="351" spans="2:8">
      <c r="B351" s="104"/>
      <c r="C351" s="104"/>
      <c r="D351" s="104"/>
      <c r="E351" s="104"/>
      <c r="F351" s="104"/>
      <c r="G351" s="104"/>
      <c r="H351" s="104"/>
    </row>
    <row r="352" spans="2:8">
      <c r="B352" s="104"/>
      <c r="C352" s="104"/>
      <c r="D352" s="104"/>
      <c r="E352" s="104"/>
      <c r="F352" s="104"/>
      <c r="G352" s="104"/>
      <c r="H352" s="104"/>
    </row>
    <row r="353" spans="2:8">
      <c r="B353" s="104"/>
      <c r="C353" s="104"/>
      <c r="D353" s="104"/>
      <c r="E353" s="104"/>
      <c r="F353" s="104"/>
      <c r="G353" s="104"/>
      <c r="H353" s="104"/>
    </row>
    <row r="354" spans="2:8">
      <c r="B354" s="104"/>
      <c r="C354" s="104"/>
      <c r="D354" s="104"/>
      <c r="E354" s="104"/>
      <c r="F354" s="104"/>
      <c r="G354" s="104"/>
      <c r="H354" s="104"/>
    </row>
    <row r="355" spans="2:8">
      <c r="B355" s="104"/>
      <c r="C355" s="104"/>
      <c r="D355" s="104"/>
      <c r="E355" s="104"/>
      <c r="F355" s="104"/>
      <c r="G355" s="104"/>
      <c r="H355" s="104"/>
    </row>
    <row r="356" spans="2:8">
      <c r="B356" s="104"/>
      <c r="C356" s="104"/>
      <c r="D356" s="104"/>
      <c r="E356" s="104"/>
      <c r="F356" s="104"/>
      <c r="G356" s="104"/>
      <c r="H356" s="104"/>
    </row>
    <row r="357" spans="2:8">
      <c r="B357" s="104"/>
      <c r="C357" s="104"/>
      <c r="D357" s="104"/>
      <c r="E357" s="104"/>
      <c r="F357" s="104"/>
      <c r="G357" s="104"/>
      <c r="H357" s="104"/>
    </row>
    <row r="358" spans="2:8">
      <c r="B358" s="104"/>
      <c r="C358" s="104"/>
      <c r="D358" s="104"/>
      <c r="E358" s="104"/>
      <c r="F358" s="104"/>
      <c r="G358" s="104"/>
      <c r="H358" s="104"/>
    </row>
    <row r="359" spans="2:8">
      <c r="B359" s="104"/>
      <c r="C359" s="104"/>
      <c r="D359" s="104"/>
      <c r="E359" s="104"/>
      <c r="F359" s="104"/>
      <c r="G359" s="104"/>
      <c r="H359" s="104"/>
    </row>
    <row r="360" spans="2:8">
      <c r="B360" s="104"/>
      <c r="C360" s="104"/>
      <c r="D360" s="104"/>
      <c r="E360" s="104"/>
      <c r="F360" s="104"/>
      <c r="G360" s="104"/>
      <c r="H360" s="104"/>
    </row>
    <row r="361" spans="2:8">
      <c r="B361" s="104"/>
      <c r="C361" s="104"/>
      <c r="D361" s="104"/>
      <c r="E361" s="104"/>
      <c r="F361" s="104"/>
      <c r="G361" s="104"/>
      <c r="H361" s="104"/>
    </row>
    <row r="362" spans="2:8">
      <c r="B362" s="104"/>
      <c r="C362" s="104"/>
      <c r="D362" s="104"/>
      <c r="E362" s="104"/>
      <c r="F362" s="104"/>
      <c r="G362" s="104"/>
      <c r="H362" s="104"/>
    </row>
    <row r="363" spans="2:8">
      <c r="B363" s="104"/>
      <c r="C363" s="104"/>
      <c r="D363" s="104"/>
      <c r="E363" s="104"/>
      <c r="F363" s="104"/>
      <c r="G363" s="104"/>
      <c r="H363" s="104"/>
    </row>
    <row r="364" spans="2:8">
      <c r="B364" s="104"/>
      <c r="C364" s="104"/>
      <c r="D364" s="104"/>
      <c r="E364" s="104"/>
      <c r="F364" s="104"/>
      <c r="G364" s="104"/>
      <c r="H364" s="104"/>
    </row>
    <row r="365" spans="2:8">
      <c r="B365" s="104"/>
      <c r="C365" s="104"/>
      <c r="D365" s="104"/>
      <c r="E365" s="104"/>
      <c r="F365" s="104"/>
      <c r="G365" s="104"/>
      <c r="H365" s="104"/>
    </row>
    <row r="366" spans="2:8">
      <c r="B366" s="104"/>
      <c r="C366" s="104"/>
      <c r="D366" s="104"/>
      <c r="E366" s="104"/>
      <c r="F366" s="104"/>
      <c r="G366" s="104"/>
      <c r="H366" s="104"/>
    </row>
    <row r="367" spans="2:8">
      <c r="B367" s="104"/>
      <c r="C367" s="104"/>
      <c r="D367" s="104"/>
      <c r="E367" s="104"/>
      <c r="F367" s="104"/>
      <c r="G367" s="104"/>
      <c r="H367" s="104"/>
    </row>
    <row r="368" spans="2:8">
      <c r="B368" s="104"/>
      <c r="C368" s="104"/>
      <c r="D368" s="104"/>
      <c r="E368" s="104"/>
      <c r="F368" s="104"/>
      <c r="G368" s="104"/>
      <c r="H368" s="104"/>
    </row>
    <row r="369" spans="2:8">
      <c r="B369" s="104"/>
      <c r="C369" s="104"/>
      <c r="D369" s="104"/>
      <c r="E369" s="104"/>
      <c r="F369" s="104"/>
      <c r="G369" s="104"/>
      <c r="H369" s="104"/>
    </row>
    <row r="370" spans="2:8">
      <c r="B370" s="104"/>
      <c r="C370" s="104"/>
      <c r="D370" s="104"/>
      <c r="E370" s="104"/>
      <c r="F370" s="104"/>
      <c r="G370" s="104"/>
      <c r="H370" s="104"/>
    </row>
    <row r="371" spans="2:8">
      <c r="B371" s="104"/>
      <c r="C371" s="104"/>
      <c r="D371" s="104"/>
      <c r="E371" s="104"/>
      <c r="F371" s="104"/>
      <c r="G371" s="104"/>
      <c r="H371" s="104"/>
    </row>
    <row r="372" spans="2:8">
      <c r="B372" s="104"/>
      <c r="C372" s="104"/>
      <c r="D372" s="104"/>
      <c r="E372" s="104"/>
      <c r="F372" s="104"/>
      <c r="G372" s="104"/>
      <c r="H372" s="104"/>
    </row>
    <row r="373" spans="2:8">
      <c r="B373" s="104"/>
      <c r="C373" s="104"/>
      <c r="D373" s="104"/>
      <c r="E373" s="104"/>
      <c r="F373" s="104"/>
      <c r="G373" s="104"/>
      <c r="H373" s="104"/>
    </row>
    <row r="374" spans="2:8">
      <c r="B374" s="104"/>
      <c r="C374" s="104"/>
      <c r="D374" s="104"/>
      <c r="E374" s="104"/>
      <c r="F374" s="104"/>
      <c r="G374" s="104"/>
      <c r="H374" s="104"/>
    </row>
    <row r="375" spans="2:8">
      <c r="B375" s="104"/>
      <c r="C375" s="104"/>
      <c r="D375" s="104"/>
      <c r="E375" s="104"/>
      <c r="F375" s="104"/>
      <c r="G375" s="104"/>
      <c r="H375" s="104"/>
    </row>
    <row r="376" spans="2:8">
      <c r="B376" s="104"/>
      <c r="C376" s="104"/>
      <c r="D376" s="104"/>
      <c r="E376" s="104"/>
      <c r="F376" s="104"/>
      <c r="G376" s="104"/>
      <c r="H376" s="104"/>
    </row>
    <row r="377" spans="2:8">
      <c r="B377" s="104"/>
      <c r="C377" s="104"/>
      <c r="D377" s="104"/>
      <c r="E377" s="104"/>
      <c r="F377" s="104"/>
      <c r="G377" s="104"/>
      <c r="H377" s="104"/>
    </row>
    <row r="378" spans="2:8">
      <c r="B378" s="104"/>
      <c r="C378" s="104"/>
      <c r="D378" s="104"/>
      <c r="E378" s="104"/>
      <c r="F378" s="104"/>
      <c r="G378" s="104"/>
      <c r="H378" s="104"/>
    </row>
    <row r="379" spans="2:8">
      <c r="B379" s="104"/>
      <c r="C379" s="104"/>
      <c r="D379" s="104"/>
      <c r="E379" s="104"/>
      <c r="F379" s="104"/>
      <c r="G379" s="104"/>
      <c r="H379" s="104"/>
    </row>
    <row r="380" spans="2:8">
      <c r="B380" s="104"/>
      <c r="C380" s="104"/>
      <c r="D380" s="104"/>
      <c r="E380" s="104"/>
      <c r="F380" s="104"/>
      <c r="G380" s="104"/>
      <c r="H380" s="104"/>
    </row>
    <row r="381" spans="2:8">
      <c r="B381" s="104"/>
      <c r="C381" s="104"/>
      <c r="D381" s="104"/>
      <c r="E381" s="104"/>
      <c r="F381" s="104"/>
      <c r="G381" s="104"/>
      <c r="H381" s="104"/>
    </row>
    <row r="382" spans="2:8">
      <c r="B382" s="104"/>
      <c r="C382" s="104"/>
      <c r="D382" s="104"/>
      <c r="E382" s="104"/>
      <c r="F382" s="104"/>
      <c r="G382" s="104"/>
      <c r="H382" s="104"/>
    </row>
    <row r="383" spans="2:8">
      <c r="B383" s="104"/>
      <c r="C383" s="104"/>
      <c r="D383" s="104"/>
      <c r="E383" s="104"/>
      <c r="F383" s="104"/>
      <c r="G383" s="104"/>
      <c r="H383" s="104"/>
    </row>
    <row r="384" spans="2:8">
      <c r="B384" s="104"/>
      <c r="C384" s="104"/>
      <c r="D384" s="104"/>
      <c r="E384" s="104"/>
      <c r="F384" s="104"/>
      <c r="G384" s="104"/>
      <c r="H384" s="104"/>
    </row>
    <row r="385" spans="2:8">
      <c r="B385" s="104"/>
      <c r="C385" s="104"/>
      <c r="D385" s="104"/>
      <c r="E385" s="104"/>
      <c r="F385" s="104"/>
      <c r="G385" s="104"/>
      <c r="H385" s="104"/>
    </row>
    <row r="386" spans="2:8">
      <c r="B386" s="104"/>
      <c r="C386" s="104"/>
      <c r="D386" s="104"/>
      <c r="E386" s="104"/>
      <c r="F386" s="104"/>
      <c r="G386" s="104"/>
      <c r="H386" s="104"/>
    </row>
    <row r="387" spans="2:8">
      <c r="B387" s="104"/>
      <c r="C387" s="104"/>
      <c r="D387" s="104"/>
      <c r="E387" s="104"/>
      <c r="F387" s="104"/>
      <c r="G387" s="104"/>
      <c r="H387" s="104"/>
    </row>
    <row r="388" spans="2:8">
      <c r="B388" s="104"/>
      <c r="C388" s="104"/>
      <c r="D388" s="104"/>
      <c r="E388" s="104"/>
      <c r="F388" s="104"/>
      <c r="G388" s="104"/>
      <c r="H388" s="104"/>
    </row>
    <row r="389" spans="2:8">
      <c r="B389" s="104"/>
      <c r="C389" s="104"/>
      <c r="D389" s="104"/>
      <c r="E389" s="104"/>
      <c r="F389" s="104"/>
      <c r="G389" s="104"/>
      <c r="H389" s="104"/>
    </row>
    <row r="390" spans="2:8">
      <c r="B390" s="104"/>
      <c r="C390" s="104"/>
      <c r="D390" s="104"/>
      <c r="E390" s="104"/>
      <c r="F390" s="104"/>
      <c r="G390" s="104"/>
      <c r="H390" s="104"/>
    </row>
    <row r="391" spans="2:8">
      <c r="B391" s="104"/>
      <c r="C391" s="104"/>
      <c r="D391" s="104"/>
      <c r="E391" s="104"/>
      <c r="F391" s="104"/>
      <c r="G391" s="104"/>
      <c r="H391" s="104"/>
    </row>
    <row r="392" spans="2:8">
      <c r="B392" s="104"/>
      <c r="C392" s="104"/>
      <c r="D392" s="104"/>
      <c r="E392" s="104"/>
      <c r="F392" s="104"/>
      <c r="G392" s="104"/>
      <c r="H392" s="104"/>
    </row>
    <row r="393" spans="2:8">
      <c r="B393" s="104"/>
      <c r="C393" s="104"/>
      <c r="D393" s="104"/>
      <c r="E393" s="104"/>
      <c r="F393" s="104"/>
      <c r="G393" s="104"/>
      <c r="H393" s="104"/>
    </row>
    <row r="394" spans="2:8">
      <c r="B394" s="104"/>
      <c r="C394" s="104"/>
      <c r="D394" s="104"/>
      <c r="E394" s="104"/>
      <c r="F394" s="104"/>
      <c r="G394" s="104"/>
      <c r="H394" s="104"/>
    </row>
    <row r="395" spans="2:8">
      <c r="B395" s="104"/>
      <c r="C395" s="104"/>
      <c r="D395" s="104"/>
      <c r="E395" s="104"/>
      <c r="F395" s="104"/>
      <c r="G395" s="104"/>
      <c r="H395" s="104"/>
    </row>
    <row r="396" spans="2:8">
      <c r="B396" s="104"/>
      <c r="C396" s="104"/>
      <c r="D396" s="104"/>
      <c r="E396" s="104"/>
      <c r="F396" s="104"/>
      <c r="G396" s="104"/>
      <c r="H396" s="104"/>
    </row>
    <row r="397" spans="2:8">
      <c r="B397" s="104"/>
      <c r="C397" s="104"/>
      <c r="D397" s="104"/>
      <c r="E397" s="104"/>
      <c r="F397" s="104"/>
      <c r="G397" s="104"/>
      <c r="H397" s="104"/>
    </row>
    <row r="398" spans="2:8">
      <c r="B398" s="104"/>
      <c r="C398" s="104"/>
      <c r="D398" s="104"/>
      <c r="E398" s="104"/>
      <c r="F398" s="104"/>
      <c r="G398" s="104"/>
      <c r="H398" s="104"/>
    </row>
    <row r="399" spans="2:8">
      <c r="B399" s="104"/>
      <c r="C399" s="104"/>
      <c r="D399" s="104"/>
      <c r="E399" s="104"/>
      <c r="F399" s="104"/>
      <c r="G399" s="104"/>
      <c r="H399" s="104"/>
    </row>
    <row r="400" spans="2:8">
      <c r="B400" s="104"/>
      <c r="C400" s="104"/>
      <c r="D400" s="104"/>
      <c r="E400" s="104"/>
      <c r="F400" s="104"/>
      <c r="G400" s="104"/>
      <c r="H400" s="104"/>
    </row>
    <row r="401" spans="2:8">
      <c r="B401" s="104"/>
      <c r="C401" s="104"/>
      <c r="D401" s="104"/>
      <c r="E401" s="104"/>
      <c r="F401" s="104"/>
      <c r="G401" s="104"/>
      <c r="H401" s="104"/>
    </row>
    <row r="402" spans="2:8">
      <c r="B402" s="104"/>
      <c r="C402" s="104"/>
      <c r="D402" s="104"/>
      <c r="E402" s="104"/>
      <c r="F402" s="104"/>
      <c r="G402" s="104"/>
      <c r="H402" s="104"/>
    </row>
    <row r="403" spans="2:8">
      <c r="B403" s="104"/>
      <c r="C403" s="104"/>
      <c r="D403" s="104"/>
      <c r="E403" s="104"/>
      <c r="F403" s="104"/>
      <c r="G403" s="104"/>
      <c r="H403" s="104"/>
    </row>
    <row r="404" spans="2:8">
      <c r="B404" s="104"/>
      <c r="C404" s="104"/>
      <c r="D404" s="104"/>
      <c r="E404" s="104"/>
      <c r="F404" s="104"/>
      <c r="G404" s="104"/>
      <c r="H404" s="104"/>
    </row>
    <row r="405" spans="2:8">
      <c r="B405" s="104"/>
      <c r="C405" s="104"/>
      <c r="D405" s="104"/>
      <c r="E405" s="104"/>
      <c r="F405" s="104"/>
      <c r="G405" s="104"/>
      <c r="H405" s="104"/>
    </row>
    <row r="406" spans="2:8">
      <c r="B406" s="104"/>
      <c r="C406" s="104"/>
      <c r="D406" s="104"/>
      <c r="E406" s="104"/>
      <c r="F406" s="104"/>
      <c r="G406" s="104"/>
      <c r="H406" s="104"/>
    </row>
    <row r="407" spans="2:8">
      <c r="B407" s="104"/>
      <c r="C407" s="104"/>
      <c r="D407" s="104"/>
      <c r="E407" s="104"/>
      <c r="F407" s="104"/>
      <c r="G407" s="104"/>
      <c r="H407" s="104"/>
    </row>
    <row r="408" spans="2:8">
      <c r="B408" s="104"/>
      <c r="C408" s="104"/>
      <c r="D408" s="104"/>
      <c r="E408" s="104"/>
      <c r="F408" s="104"/>
      <c r="G408" s="104"/>
      <c r="H408" s="104"/>
    </row>
    <row r="409" spans="2:8">
      <c r="B409" s="104"/>
      <c r="C409" s="104"/>
      <c r="D409" s="104"/>
      <c r="E409" s="104"/>
      <c r="F409" s="104"/>
      <c r="G409" s="104"/>
      <c r="H409" s="104"/>
    </row>
    <row r="410" spans="2:8">
      <c r="B410" s="104"/>
      <c r="C410" s="104"/>
      <c r="D410" s="104"/>
      <c r="E410" s="104"/>
      <c r="F410" s="104"/>
      <c r="G410" s="104"/>
      <c r="H410" s="104"/>
    </row>
    <row r="411" spans="2:8">
      <c r="B411" s="104"/>
      <c r="C411" s="104"/>
      <c r="D411" s="104"/>
      <c r="E411" s="104"/>
      <c r="F411" s="104"/>
      <c r="G411" s="104"/>
      <c r="H411" s="104"/>
    </row>
    <row r="412" spans="2:8">
      <c r="B412" s="104"/>
      <c r="C412" s="104"/>
      <c r="D412" s="104"/>
      <c r="E412" s="104"/>
      <c r="F412" s="104"/>
      <c r="G412" s="104"/>
      <c r="H412" s="104"/>
    </row>
    <row r="413" spans="2:8">
      <c r="B413" s="104"/>
      <c r="C413" s="104"/>
      <c r="D413" s="104"/>
      <c r="E413" s="104"/>
      <c r="F413" s="104"/>
      <c r="G413" s="104"/>
      <c r="H413" s="104"/>
    </row>
    <row r="414" spans="2:8">
      <c r="B414" s="104"/>
      <c r="C414" s="104"/>
      <c r="D414" s="104"/>
      <c r="E414" s="104"/>
      <c r="F414" s="104"/>
      <c r="G414" s="104"/>
      <c r="H414" s="104"/>
    </row>
    <row r="415" spans="2:8">
      <c r="B415" s="104"/>
      <c r="C415" s="104"/>
      <c r="D415" s="104"/>
      <c r="E415" s="104"/>
      <c r="F415" s="104"/>
      <c r="G415" s="104"/>
      <c r="H415" s="104"/>
    </row>
    <row r="416" spans="2:8">
      <c r="B416" s="104"/>
      <c r="C416" s="104"/>
      <c r="D416" s="104"/>
      <c r="E416" s="104"/>
      <c r="F416" s="104"/>
      <c r="G416" s="104"/>
      <c r="H416" s="104"/>
    </row>
    <row r="417" spans="2:8">
      <c r="B417" s="104"/>
      <c r="C417" s="104"/>
      <c r="D417" s="104"/>
      <c r="E417" s="104"/>
      <c r="F417" s="104"/>
      <c r="G417" s="104"/>
      <c r="H417" s="104"/>
    </row>
    <row r="418" spans="2:8">
      <c r="B418" s="104"/>
      <c r="C418" s="104"/>
      <c r="D418" s="104"/>
      <c r="E418" s="104"/>
      <c r="F418" s="104"/>
      <c r="G418" s="104"/>
      <c r="H418" s="104"/>
    </row>
    <row r="419" spans="2:8">
      <c r="B419" s="104"/>
      <c r="C419" s="104"/>
      <c r="D419" s="104"/>
      <c r="E419" s="104"/>
      <c r="F419" s="104"/>
      <c r="G419" s="104"/>
      <c r="H419" s="104"/>
    </row>
    <row r="420" spans="2:8">
      <c r="B420" s="104"/>
      <c r="C420" s="104"/>
      <c r="D420" s="104"/>
      <c r="E420" s="104"/>
      <c r="F420" s="104"/>
      <c r="G420" s="104"/>
      <c r="H420" s="104"/>
    </row>
    <row r="421" spans="2:8">
      <c r="B421" s="104"/>
      <c r="C421" s="104"/>
      <c r="D421" s="104"/>
      <c r="E421" s="104"/>
      <c r="F421" s="104"/>
      <c r="G421" s="104"/>
      <c r="H421" s="104"/>
    </row>
    <row r="422" spans="2:8">
      <c r="B422" s="104"/>
      <c r="C422" s="104"/>
      <c r="D422" s="104"/>
      <c r="E422" s="104"/>
      <c r="F422" s="104"/>
      <c r="G422" s="104"/>
      <c r="H422" s="104"/>
    </row>
    <row r="423" spans="2:8">
      <c r="B423" s="104"/>
      <c r="C423" s="104"/>
      <c r="D423" s="104"/>
      <c r="E423" s="104"/>
      <c r="F423" s="104"/>
      <c r="G423" s="104"/>
      <c r="H423" s="104"/>
    </row>
    <row r="424" spans="2:8">
      <c r="B424" s="104"/>
      <c r="C424" s="104"/>
      <c r="D424" s="104"/>
      <c r="E424" s="104"/>
      <c r="F424" s="104"/>
      <c r="G424" s="104"/>
      <c r="H424" s="104"/>
    </row>
    <row r="425" spans="2:8">
      <c r="B425" s="104"/>
      <c r="C425" s="104"/>
      <c r="D425" s="104"/>
      <c r="E425" s="104"/>
      <c r="F425" s="104"/>
      <c r="G425" s="104"/>
      <c r="H425" s="104"/>
    </row>
    <row r="426" spans="2:8">
      <c r="B426" s="104"/>
      <c r="C426" s="104"/>
      <c r="D426" s="104"/>
      <c r="E426" s="104"/>
      <c r="F426" s="104"/>
      <c r="G426" s="104"/>
      <c r="H426" s="104"/>
    </row>
    <row r="427" spans="2:8">
      <c r="B427" s="104"/>
      <c r="C427" s="104"/>
      <c r="D427" s="104"/>
      <c r="E427" s="104"/>
      <c r="F427" s="104"/>
      <c r="G427" s="104"/>
      <c r="H427" s="104"/>
    </row>
    <row r="428" spans="2:8">
      <c r="B428" s="104"/>
      <c r="C428" s="104"/>
      <c r="D428" s="104"/>
      <c r="E428" s="104"/>
      <c r="F428" s="104"/>
      <c r="G428" s="104"/>
      <c r="H428" s="104"/>
    </row>
    <row r="429" spans="2:8">
      <c r="B429" s="104"/>
      <c r="C429" s="104"/>
      <c r="D429" s="104"/>
      <c r="E429" s="104"/>
      <c r="F429" s="104"/>
      <c r="G429" s="104"/>
      <c r="H429" s="104"/>
    </row>
    <row r="430" spans="2:8">
      <c r="B430" s="104"/>
      <c r="C430" s="104"/>
      <c r="D430" s="104"/>
      <c r="E430" s="104"/>
      <c r="F430" s="104"/>
      <c r="G430" s="104"/>
      <c r="H430" s="104"/>
    </row>
    <row r="431" spans="2:8">
      <c r="B431" s="104"/>
      <c r="C431" s="104"/>
      <c r="D431" s="104"/>
      <c r="E431" s="104"/>
      <c r="F431" s="104"/>
      <c r="G431" s="104"/>
      <c r="H431" s="104"/>
    </row>
    <row r="432" spans="2:8">
      <c r="B432" s="104"/>
      <c r="C432" s="104"/>
      <c r="D432" s="104"/>
      <c r="E432" s="104"/>
      <c r="F432" s="104"/>
      <c r="G432" s="104"/>
      <c r="H432" s="104"/>
    </row>
    <row r="433" spans="2:8">
      <c r="B433" s="104"/>
      <c r="C433" s="104"/>
      <c r="D433" s="104"/>
      <c r="E433" s="104"/>
      <c r="F433" s="104"/>
      <c r="G433" s="104"/>
      <c r="H433" s="104"/>
    </row>
    <row r="434" spans="2:8">
      <c r="B434" s="104"/>
      <c r="C434" s="104"/>
      <c r="D434" s="104"/>
      <c r="E434" s="104"/>
      <c r="F434" s="104"/>
      <c r="G434" s="104"/>
      <c r="H434" s="104"/>
    </row>
    <row r="435" spans="2:8">
      <c r="B435" s="104"/>
      <c r="C435" s="104"/>
      <c r="D435" s="104"/>
      <c r="E435" s="104"/>
      <c r="F435" s="104"/>
      <c r="G435" s="104"/>
      <c r="H435" s="104"/>
    </row>
    <row r="436" spans="2:8">
      <c r="B436" s="104"/>
      <c r="C436" s="104"/>
      <c r="D436" s="104"/>
      <c r="E436" s="104"/>
      <c r="F436" s="104"/>
      <c r="G436" s="104"/>
      <c r="H436" s="104"/>
    </row>
    <row r="437" spans="2:8">
      <c r="B437" s="104"/>
      <c r="C437" s="104"/>
      <c r="D437" s="104"/>
      <c r="E437" s="104"/>
      <c r="F437" s="104"/>
      <c r="G437" s="104"/>
      <c r="H437" s="104"/>
    </row>
    <row r="438" spans="2:8">
      <c r="B438" s="104"/>
      <c r="C438" s="104"/>
      <c r="D438" s="104"/>
      <c r="E438" s="104"/>
      <c r="F438" s="104"/>
      <c r="G438" s="104"/>
      <c r="H438" s="104"/>
    </row>
    <row r="439" spans="2:8">
      <c r="B439" s="104"/>
      <c r="C439" s="104"/>
      <c r="D439" s="104"/>
      <c r="E439" s="104"/>
      <c r="F439" s="104"/>
      <c r="G439" s="104"/>
      <c r="H439" s="104"/>
    </row>
    <row r="440" spans="2:8">
      <c r="B440" s="104"/>
      <c r="C440" s="104"/>
      <c r="D440" s="104"/>
      <c r="E440" s="104"/>
      <c r="F440" s="104"/>
      <c r="G440" s="104"/>
      <c r="H440" s="104"/>
    </row>
    <row r="441" spans="2:8">
      <c r="B441" s="104"/>
      <c r="C441" s="104"/>
      <c r="D441" s="104"/>
      <c r="E441" s="104"/>
      <c r="F441" s="104"/>
      <c r="G441" s="104"/>
      <c r="H441" s="104"/>
    </row>
    <row r="442" spans="2:8">
      <c r="B442" s="104"/>
      <c r="C442" s="104"/>
      <c r="D442" s="104"/>
      <c r="E442" s="104"/>
      <c r="F442" s="104"/>
      <c r="G442" s="104"/>
      <c r="H442" s="104"/>
    </row>
    <row r="443" spans="2:8">
      <c r="B443" s="104"/>
      <c r="C443" s="104"/>
      <c r="D443" s="104"/>
      <c r="E443" s="104"/>
      <c r="F443" s="104"/>
      <c r="G443" s="104"/>
      <c r="H443" s="104"/>
    </row>
    <row r="444" spans="2:8">
      <c r="B444" s="104"/>
      <c r="C444" s="104"/>
      <c r="D444" s="104"/>
      <c r="E444" s="104"/>
      <c r="F444" s="104"/>
      <c r="G444" s="104"/>
      <c r="H444" s="104"/>
    </row>
    <row r="445" spans="2:8">
      <c r="B445" s="104"/>
      <c r="C445" s="104"/>
      <c r="D445" s="104"/>
      <c r="E445" s="104"/>
      <c r="F445" s="104"/>
      <c r="G445" s="104"/>
      <c r="H445" s="104"/>
    </row>
    <row r="446" spans="2:8">
      <c r="B446" s="104"/>
      <c r="C446" s="104"/>
      <c r="D446" s="104"/>
      <c r="E446" s="104"/>
      <c r="F446" s="104"/>
      <c r="G446" s="104"/>
      <c r="H446" s="104"/>
    </row>
    <row r="447" spans="2:8">
      <c r="B447" s="104"/>
      <c r="C447" s="104"/>
      <c r="D447" s="104"/>
      <c r="E447" s="104"/>
      <c r="F447" s="104"/>
      <c r="G447" s="104"/>
      <c r="H447" s="104"/>
    </row>
    <row r="448" spans="2:8">
      <c r="B448" s="104"/>
      <c r="C448" s="104"/>
      <c r="D448" s="104"/>
      <c r="E448" s="104"/>
      <c r="F448" s="104"/>
      <c r="G448" s="104"/>
      <c r="H448" s="104"/>
    </row>
    <row r="449" spans="2:8">
      <c r="B449" s="104"/>
      <c r="C449" s="104"/>
      <c r="D449" s="104"/>
      <c r="E449" s="104"/>
      <c r="F449" s="104"/>
      <c r="G449" s="104"/>
      <c r="H449" s="104"/>
    </row>
    <row r="450" spans="2:8">
      <c r="B450" s="104"/>
      <c r="C450" s="104"/>
      <c r="D450" s="104"/>
      <c r="E450" s="104"/>
      <c r="F450" s="104"/>
      <c r="G450" s="104"/>
      <c r="H450" s="104"/>
    </row>
    <row r="451" spans="2:8">
      <c r="B451" s="104"/>
      <c r="C451" s="104"/>
      <c r="D451" s="104"/>
      <c r="E451" s="104"/>
      <c r="F451" s="104"/>
      <c r="G451" s="104"/>
      <c r="H451" s="104"/>
    </row>
    <row r="452" spans="2:8">
      <c r="B452" s="104"/>
      <c r="C452" s="104"/>
      <c r="D452" s="104"/>
      <c r="E452" s="104"/>
      <c r="F452" s="104"/>
      <c r="G452" s="104"/>
      <c r="H452" s="104"/>
    </row>
    <row r="453" spans="2:8">
      <c r="B453" s="104"/>
      <c r="C453" s="104"/>
      <c r="D453" s="104"/>
      <c r="E453" s="104"/>
      <c r="F453" s="104"/>
      <c r="G453" s="104"/>
      <c r="H453" s="104"/>
    </row>
    <row r="454" spans="2:8">
      <c r="B454" s="104"/>
      <c r="C454" s="104"/>
      <c r="D454" s="104"/>
      <c r="E454" s="104"/>
      <c r="F454" s="104"/>
      <c r="G454" s="104"/>
      <c r="H454" s="104"/>
    </row>
    <row r="455" spans="2:8">
      <c r="B455" s="104"/>
      <c r="C455" s="104"/>
      <c r="D455" s="104"/>
      <c r="E455" s="104"/>
      <c r="F455" s="104"/>
      <c r="G455" s="104"/>
      <c r="H455" s="104"/>
    </row>
    <row r="456" spans="2:8">
      <c r="B456" s="104"/>
      <c r="C456" s="104"/>
      <c r="D456" s="104"/>
      <c r="E456" s="104"/>
      <c r="F456" s="104"/>
      <c r="G456" s="104"/>
      <c r="H456" s="104"/>
    </row>
    <row r="457" spans="2:8">
      <c r="B457" s="104"/>
      <c r="C457" s="104"/>
      <c r="D457" s="104"/>
      <c r="E457" s="104"/>
      <c r="F457" s="104"/>
      <c r="G457" s="104"/>
      <c r="H457" s="104"/>
    </row>
    <row r="458" spans="2:8">
      <c r="B458" s="104"/>
      <c r="C458" s="104"/>
      <c r="D458" s="104"/>
      <c r="E458" s="104"/>
      <c r="F458" s="104"/>
      <c r="G458" s="104"/>
      <c r="H458" s="104"/>
    </row>
    <row r="459" spans="2:8">
      <c r="B459" s="104"/>
      <c r="C459" s="104"/>
      <c r="D459" s="104"/>
      <c r="E459" s="104"/>
      <c r="F459" s="104"/>
      <c r="G459" s="104"/>
      <c r="H459" s="104"/>
    </row>
    <row r="460" spans="2:8">
      <c r="B460" s="104"/>
      <c r="C460" s="104"/>
      <c r="D460" s="104"/>
      <c r="E460" s="104"/>
      <c r="F460" s="104"/>
      <c r="G460" s="104"/>
      <c r="H460" s="104"/>
    </row>
    <row r="461" spans="2:8">
      <c r="B461" s="104"/>
      <c r="C461" s="104"/>
      <c r="D461" s="104"/>
      <c r="E461" s="104"/>
      <c r="F461" s="104"/>
      <c r="G461" s="104"/>
      <c r="H461" s="104"/>
    </row>
    <row r="462" spans="2:8">
      <c r="B462" s="104"/>
      <c r="C462" s="104"/>
      <c r="D462" s="104"/>
      <c r="E462" s="104"/>
      <c r="F462" s="104"/>
      <c r="G462" s="104"/>
      <c r="H462" s="104"/>
    </row>
    <row r="463" spans="2:8">
      <c r="B463" s="104"/>
      <c r="C463" s="104"/>
      <c r="D463" s="104"/>
      <c r="E463" s="104"/>
      <c r="F463" s="104"/>
      <c r="G463" s="104"/>
      <c r="H463" s="104"/>
    </row>
    <row r="464" spans="2:8">
      <c r="B464" s="104"/>
      <c r="C464" s="104"/>
      <c r="D464" s="104"/>
      <c r="E464" s="104"/>
      <c r="F464" s="104"/>
      <c r="G464" s="104"/>
      <c r="H464" s="104"/>
    </row>
    <row r="465" spans="2:8">
      <c r="B465" s="104"/>
      <c r="C465" s="104"/>
      <c r="D465" s="104"/>
      <c r="E465" s="104"/>
      <c r="F465" s="104"/>
      <c r="G465" s="104"/>
      <c r="H465" s="104"/>
    </row>
    <row r="466" spans="2:8">
      <c r="B466" s="104"/>
      <c r="C466" s="104"/>
      <c r="D466" s="104"/>
      <c r="E466" s="104"/>
      <c r="F466" s="104"/>
      <c r="G466" s="104"/>
      <c r="H466" s="104"/>
    </row>
    <row r="467" spans="2:8">
      <c r="B467" s="104"/>
      <c r="C467" s="104"/>
      <c r="D467" s="104"/>
      <c r="E467" s="104"/>
      <c r="F467" s="104"/>
      <c r="G467" s="104"/>
      <c r="H467" s="104"/>
    </row>
    <row r="468" spans="2:8">
      <c r="B468" s="104"/>
      <c r="C468" s="104"/>
      <c r="D468" s="104"/>
      <c r="E468" s="104"/>
      <c r="F468" s="104"/>
      <c r="G468" s="104"/>
      <c r="H468" s="104"/>
    </row>
    <row r="469" spans="2:8">
      <c r="B469" s="104"/>
      <c r="C469" s="104"/>
      <c r="D469" s="104"/>
      <c r="E469" s="104"/>
      <c r="F469" s="104"/>
      <c r="G469" s="104"/>
      <c r="H469" s="104"/>
    </row>
    <row r="470" spans="2:8">
      <c r="B470" s="104"/>
      <c r="C470" s="104"/>
      <c r="D470" s="104"/>
      <c r="E470" s="104"/>
      <c r="F470" s="104"/>
      <c r="G470" s="104"/>
      <c r="H470" s="104"/>
    </row>
    <row r="471" spans="2:8">
      <c r="B471" s="104"/>
      <c r="C471" s="104"/>
      <c r="D471" s="104"/>
      <c r="E471" s="104"/>
      <c r="F471" s="104"/>
      <c r="G471" s="104"/>
      <c r="H471" s="104"/>
    </row>
    <row r="472" spans="2:8">
      <c r="B472" s="104"/>
      <c r="C472" s="104"/>
      <c r="D472" s="104"/>
      <c r="E472" s="104"/>
      <c r="F472" s="104"/>
      <c r="G472" s="104"/>
      <c r="H472" s="104"/>
    </row>
    <row r="473" spans="2:8">
      <c r="B473" s="104"/>
      <c r="C473" s="104"/>
      <c r="D473" s="104"/>
      <c r="E473" s="104"/>
      <c r="F473" s="104"/>
      <c r="G473" s="104"/>
      <c r="H473" s="104"/>
    </row>
    <row r="474" spans="2:8">
      <c r="B474" s="104"/>
      <c r="C474" s="104"/>
      <c r="D474" s="104"/>
      <c r="E474" s="104"/>
      <c r="F474" s="104"/>
      <c r="G474" s="104"/>
      <c r="H474" s="104"/>
    </row>
    <row r="475" spans="2:8">
      <c r="B475" s="104"/>
      <c r="C475" s="104"/>
      <c r="D475" s="104"/>
      <c r="E475" s="104"/>
      <c r="F475" s="104"/>
      <c r="G475" s="104"/>
      <c r="H475" s="104"/>
    </row>
    <row r="476" spans="2:8">
      <c r="B476" s="104"/>
      <c r="C476" s="104"/>
      <c r="D476" s="104"/>
      <c r="E476" s="104"/>
      <c r="F476" s="104"/>
      <c r="G476" s="104"/>
      <c r="H476" s="104"/>
    </row>
    <row r="477" spans="2:8">
      <c r="B477" s="104"/>
      <c r="C477" s="104"/>
      <c r="D477" s="104"/>
      <c r="E477" s="104"/>
      <c r="F477" s="104"/>
      <c r="G477" s="104"/>
      <c r="H477" s="104"/>
    </row>
    <row r="478" spans="2:8">
      <c r="B478" s="104"/>
      <c r="C478" s="104"/>
      <c r="D478" s="104"/>
      <c r="E478" s="104"/>
      <c r="F478" s="104"/>
      <c r="G478" s="104"/>
      <c r="H478" s="104"/>
    </row>
    <row r="479" spans="2:8">
      <c r="B479" s="104"/>
      <c r="C479" s="104"/>
      <c r="D479" s="104"/>
      <c r="E479" s="104"/>
      <c r="F479" s="104"/>
      <c r="G479" s="104"/>
      <c r="H479" s="104"/>
    </row>
    <row r="480" spans="2:8">
      <c r="B480" s="104"/>
      <c r="C480" s="104"/>
      <c r="D480" s="104"/>
      <c r="E480" s="104"/>
      <c r="F480" s="104"/>
      <c r="G480" s="104"/>
      <c r="H480" s="104"/>
    </row>
    <row r="481" spans="2:8">
      <c r="B481" s="104"/>
      <c r="C481" s="104"/>
      <c r="D481" s="104"/>
      <c r="E481" s="104"/>
      <c r="F481" s="104"/>
      <c r="G481" s="104"/>
      <c r="H481" s="104"/>
    </row>
    <row r="482" spans="2:8">
      <c r="B482" s="104"/>
      <c r="C482" s="104"/>
      <c r="D482" s="104"/>
      <c r="E482" s="104"/>
      <c r="F482" s="104"/>
      <c r="G482" s="104"/>
      <c r="H482" s="104"/>
    </row>
    <row r="483" spans="2:8">
      <c r="B483" s="104"/>
      <c r="C483" s="104"/>
      <c r="D483" s="104"/>
      <c r="E483" s="104"/>
      <c r="F483" s="104"/>
      <c r="G483" s="104"/>
      <c r="H483" s="104"/>
    </row>
    <row r="484" spans="2:8">
      <c r="B484" s="104"/>
      <c r="C484" s="104"/>
      <c r="D484" s="104"/>
      <c r="E484" s="104"/>
      <c r="F484" s="104"/>
      <c r="G484" s="104"/>
      <c r="H484" s="104"/>
    </row>
    <row r="485" spans="2:8">
      <c r="B485" s="104"/>
      <c r="C485" s="104"/>
      <c r="D485" s="104"/>
      <c r="E485" s="104"/>
      <c r="F485" s="104"/>
      <c r="G485" s="104"/>
      <c r="H485" s="104"/>
    </row>
    <row r="486" spans="2:8">
      <c r="B486" s="104"/>
      <c r="C486" s="104"/>
      <c r="D486" s="104"/>
      <c r="E486" s="104"/>
      <c r="F486" s="104"/>
      <c r="G486" s="104"/>
      <c r="H486" s="104"/>
    </row>
    <row r="487" spans="2:8">
      <c r="B487" s="104"/>
      <c r="C487" s="104"/>
      <c r="D487" s="104"/>
      <c r="E487" s="104"/>
      <c r="F487" s="104"/>
      <c r="G487" s="104"/>
      <c r="H487" s="104"/>
    </row>
    <row r="488" spans="2:8">
      <c r="B488" s="104"/>
      <c r="C488" s="104"/>
      <c r="D488" s="104"/>
      <c r="E488" s="104"/>
      <c r="F488" s="104"/>
      <c r="G488" s="104"/>
      <c r="H488" s="104"/>
    </row>
    <row r="489" spans="2:8">
      <c r="B489" s="104"/>
      <c r="C489" s="104"/>
      <c r="D489" s="104"/>
      <c r="E489" s="104"/>
      <c r="F489" s="104"/>
      <c r="G489" s="104"/>
      <c r="H489" s="104"/>
    </row>
    <row r="490" spans="2:8">
      <c r="B490" s="104"/>
      <c r="C490" s="104"/>
      <c r="D490" s="104"/>
      <c r="E490" s="104"/>
      <c r="F490" s="104"/>
      <c r="G490" s="104"/>
      <c r="H490" s="104"/>
    </row>
    <row r="491" spans="2:8">
      <c r="B491" s="104"/>
      <c r="C491" s="104"/>
      <c r="D491" s="104"/>
      <c r="E491" s="104"/>
      <c r="F491" s="104"/>
      <c r="G491" s="104"/>
      <c r="H491" s="104"/>
    </row>
    <row r="492" spans="2:8">
      <c r="B492" s="104"/>
      <c r="C492" s="104"/>
      <c r="D492" s="104"/>
      <c r="E492" s="104"/>
      <c r="F492" s="104"/>
      <c r="G492" s="104"/>
      <c r="H492" s="104"/>
    </row>
    <row r="493" spans="2:8">
      <c r="B493" s="104"/>
      <c r="C493" s="104"/>
      <c r="D493" s="104"/>
      <c r="E493" s="104"/>
      <c r="F493" s="104"/>
      <c r="G493" s="104"/>
      <c r="H493" s="104"/>
    </row>
    <row r="494" spans="2:8">
      <c r="B494" s="104"/>
      <c r="C494" s="104"/>
      <c r="D494" s="104"/>
      <c r="E494" s="104"/>
      <c r="F494" s="104"/>
      <c r="G494" s="104"/>
      <c r="H494" s="104"/>
    </row>
    <row r="495" spans="2:8">
      <c r="B495" s="104"/>
      <c r="C495" s="104"/>
      <c r="D495" s="104"/>
      <c r="E495" s="104"/>
      <c r="F495" s="104"/>
      <c r="G495" s="104"/>
      <c r="H495" s="104"/>
    </row>
    <row r="496" spans="2:8">
      <c r="B496" s="104"/>
      <c r="C496" s="104"/>
      <c r="D496" s="104"/>
      <c r="E496" s="104"/>
      <c r="F496" s="104"/>
      <c r="G496" s="104"/>
      <c r="H496" s="104"/>
    </row>
    <row r="497" spans="2:8">
      <c r="B497" s="104"/>
      <c r="C497" s="104"/>
      <c r="D497" s="104"/>
      <c r="E497" s="104"/>
      <c r="F497" s="104"/>
      <c r="G497" s="104"/>
      <c r="H497" s="104"/>
    </row>
    <row r="498" spans="2:8">
      <c r="B498" s="104"/>
      <c r="C498" s="104"/>
      <c r="D498" s="104"/>
      <c r="E498" s="104"/>
      <c r="F498" s="104"/>
      <c r="G498" s="104"/>
      <c r="H498" s="104"/>
    </row>
    <row r="499" spans="2:8">
      <c r="B499" s="104"/>
      <c r="C499" s="104"/>
      <c r="D499" s="104"/>
      <c r="E499" s="104"/>
      <c r="F499" s="104"/>
      <c r="G499" s="104"/>
      <c r="H499" s="104"/>
    </row>
    <row r="500" spans="2:8">
      <c r="B500" s="104"/>
      <c r="C500" s="104"/>
      <c r="D500" s="104"/>
      <c r="E500" s="104"/>
      <c r="F500" s="104"/>
      <c r="G500" s="104"/>
      <c r="H500" s="104"/>
    </row>
    <row r="501" spans="2:8">
      <c r="B501" s="104"/>
      <c r="C501" s="104"/>
      <c r="D501" s="104"/>
      <c r="E501" s="104"/>
      <c r="F501" s="104"/>
      <c r="G501" s="104"/>
      <c r="H501" s="104"/>
    </row>
    <row r="502" spans="2:8">
      <c r="B502" s="104"/>
      <c r="C502" s="104"/>
      <c r="D502" s="104"/>
      <c r="E502" s="104"/>
      <c r="F502" s="104"/>
      <c r="G502" s="104"/>
      <c r="H502" s="104"/>
    </row>
    <row r="503" spans="2:8">
      <c r="B503" s="104"/>
      <c r="C503" s="104"/>
      <c r="D503" s="104"/>
      <c r="E503" s="104"/>
      <c r="F503" s="104"/>
      <c r="G503" s="104"/>
      <c r="H503" s="104"/>
    </row>
    <row r="504" spans="2:8">
      <c r="B504" s="104"/>
      <c r="C504" s="104"/>
      <c r="D504" s="104"/>
      <c r="E504" s="104"/>
      <c r="F504" s="104"/>
      <c r="G504" s="104"/>
      <c r="H504" s="104"/>
    </row>
    <row r="505" spans="2:8">
      <c r="B505" s="104"/>
      <c r="C505" s="104"/>
      <c r="D505" s="104"/>
      <c r="E505" s="104"/>
      <c r="F505" s="104"/>
      <c r="G505" s="104"/>
      <c r="H505" s="104"/>
    </row>
    <row r="506" spans="2:8">
      <c r="B506" s="104"/>
      <c r="C506" s="104"/>
      <c r="D506" s="104"/>
      <c r="E506" s="104"/>
      <c r="F506" s="104"/>
      <c r="G506" s="104"/>
      <c r="H506" s="104"/>
    </row>
    <row r="507" spans="2:8">
      <c r="B507" s="104"/>
      <c r="C507" s="104"/>
      <c r="D507" s="104"/>
      <c r="E507" s="104"/>
      <c r="F507" s="104"/>
      <c r="G507" s="104"/>
      <c r="H507" s="104"/>
    </row>
    <row r="508" spans="2:8">
      <c r="B508" s="104"/>
      <c r="C508" s="104"/>
      <c r="D508" s="104"/>
      <c r="E508" s="104"/>
      <c r="F508" s="104"/>
      <c r="G508" s="104"/>
      <c r="H508" s="104"/>
    </row>
    <row r="509" spans="2:8">
      <c r="B509" s="104"/>
      <c r="C509" s="104"/>
      <c r="D509" s="104"/>
      <c r="E509" s="104"/>
      <c r="F509" s="104"/>
      <c r="G509" s="104"/>
      <c r="H509" s="104"/>
    </row>
    <row r="510" spans="2:8">
      <c r="B510" s="104"/>
      <c r="C510" s="104"/>
      <c r="D510" s="104"/>
      <c r="E510" s="104"/>
      <c r="F510" s="104"/>
      <c r="G510" s="104"/>
      <c r="H510" s="104"/>
    </row>
    <row r="511" spans="2:8">
      <c r="B511" s="104"/>
      <c r="C511" s="104"/>
      <c r="D511" s="104"/>
      <c r="E511" s="104"/>
      <c r="F511" s="104"/>
      <c r="G511" s="104"/>
      <c r="H511" s="104"/>
    </row>
  </sheetData>
  <mergeCells count="6">
    <mergeCell ref="D1:H3"/>
    <mergeCell ref="A4:C4"/>
    <mergeCell ref="D4:H4"/>
    <mergeCell ref="A5:C5"/>
    <mergeCell ref="D5:G5"/>
    <mergeCell ref="H5:H6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2" orientation="portrait" r:id="rId1"/>
  <headerFooter>
    <oddFooter>&amp;L&amp;"Calibri,Regular"&amp;12&amp;K184782&amp;F&amp;C&amp;"Calibri,Regular"&amp;12&amp;K184782&amp;A&amp;R&amp;"Calibri,Regular"&amp;12&amp;K184782&amp;P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18</vt:i4>
      </vt:variant>
      <vt:variant>
        <vt:lpstr>Intervalos Nomeados</vt:lpstr>
      </vt:variant>
      <vt:variant>
        <vt:i4>16</vt:i4>
      </vt:variant>
    </vt:vector>
  </HeadingPairs>
  <TitlesOfParts>
    <vt:vector size="34" baseType="lpstr">
      <vt:lpstr>RESUMO</vt:lpstr>
      <vt:lpstr>Diesel_500</vt:lpstr>
      <vt:lpstr>Diesel_S10</vt:lpstr>
      <vt:lpstr>Arla_32</vt:lpstr>
      <vt:lpstr>Câmbio</vt:lpstr>
      <vt:lpstr>Carter</vt:lpstr>
      <vt:lpstr>Despesas Indireta</vt:lpstr>
      <vt:lpstr>Motorista</vt:lpstr>
      <vt:lpstr>Cav. Mecânico</vt:lpstr>
      <vt:lpstr>Semirreboque</vt:lpstr>
      <vt:lpstr>Rodoar</vt:lpstr>
      <vt:lpstr>Pneu</vt:lpstr>
      <vt:lpstr>Recapagem</vt:lpstr>
      <vt:lpstr>Lavagem</vt:lpstr>
      <vt:lpstr>Seguros</vt:lpstr>
      <vt:lpstr>Manutenção</vt:lpstr>
      <vt:lpstr>EVOL. INSUMOS</vt:lpstr>
      <vt:lpstr>RESUMO_MÊS</vt:lpstr>
      <vt:lpstr>Arla_32!Area_de_impressao</vt:lpstr>
      <vt:lpstr>Câmbio!Area_de_impressao</vt:lpstr>
      <vt:lpstr>Carter!Area_de_impressao</vt:lpstr>
      <vt:lpstr>'Cav. Mecânico'!Area_de_impressao</vt:lpstr>
      <vt:lpstr>'Despesas Indireta'!Area_de_impressao</vt:lpstr>
      <vt:lpstr>Diesel_500!Area_de_impressao</vt:lpstr>
      <vt:lpstr>Diesel_S10!Area_de_impressao</vt:lpstr>
      <vt:lpstr>Lavagem!Area_de_impressao</vt:lpstr>
      <vt:lpstr>Manutenção!Area_de_impressao</vt:lpstr>
      <vt:lpstr>Motorista!Area_de_impressao</vt:lpstr>
      <vt:lpstr>Pneu!Area_de_impressao</vt:lpstr>
      <vt:lpstr>Recapagem!Area_de_impressao</vt:lpstr>
      <vt:lpstr>RESUMO!Area_de_impressao</vt:lpstr>
      <vt:lpstr>Rodoar!Area_de_impressao</vt:lpstr>
      <vt:lpstr>Seguros!Area_de_impressao</vt:lpstr>
      <vt:lpstr>Semirreboque!Area_de_impressao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</dc:creator>
  <cp:lastModifiedBy>Fernando Silva | NTC</cp:lastModifiedBy>
  <cp:lastPrinted>2020-06-09T15:10:04Z</cp:lastPrinted>
  <dcterms:created xsi:type="dcterms:W3CDTF">2004-04-24T14:41:30Z</dcterms:created>
  <dcterms:modified xsi:type="dcterms:W3CDTF">2020-10-07T16:39:08Z</dcterms:modified>
</cp:coreProperties>
</file>