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OMPARTI\CLAUDIO\ARQUIVOS\"/>
    </mc:Choice>
  </mc:AlternateContent>
  <xr:revisionPtr revIDLastSave="0" documentId="13_ncr:1_{4667D8E5-B67E-45F6-9033-09AB71BDBA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inel" sheetId="2" r:id="rId1"/>
    <sheet name="plot0920" sheetId="1" r:id="rId2"/>
  </sheets>
  <externalReferences>
    <externalReference r:id="rId3"/>
  </externalReferences>
  <definedNames>
    <definedName name="_xlnm.Print_Area" localSheetId="0">Painel!$D$1:$K$58</definedName>
    <definedName name="_xlnm.Print_Area" localSheetId="1">plot0920!$A$1:$L$72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8" i="2"/>
  <c r="E37" i="2"/>
  <c r="E36" i="2"/>
  <c r="E35" i="2"/>
  <c r="E34" i="2"/>
  <c r="E33" i="2"/>
  <c r="E32" i="2"/>
  <c r="E28" i="2"/>
  <c r="E27" i="2"/>
  <c r="E26" i="2"/>
  <c r="E25" i="2"/>
  <c r="E24" i="2"/>
  <c r="E23" i="2"/>
  <c r="E22" i="2"/>
  <c r="E17" i="2"/>
  <c r="E16" i="2"/>
  <c r="E15" i="2"/>
  <c r="E14" i="2"/>
  <c r="E13" i="2"/>
  <c r="E12" i="2"/>
  <c r="E11" i="2"/>
  <c r="H8" i="2"/>
  <c r="D8" i="2"/>
  <c r="K7" i="2"/>
  <c r="H7" i="2"/>
  <c r="D7" i="2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6" i="1"/>
  <c r="B15" i="1"/>
  <c r="B14" i="1"/>
  <c r="B13" i="1"/>
  <c r="B12" i="1"/>
  <c r="B11" i="1"/>
  <c r="B10" i="1"/>
  <c r="L3" i="1"/>
  <c r="H3" i="1"/>
  <c r="C3" i="1"/>
  <c r="L2" i="1"/>
  <c r="H2" i="1"/>
  <c r="C2" i="1"/>
  <c r="K35" i="2" l="1"/>
  <c r="E36" i="1"/>
  <c r="C28" i="1"/>
  <c r="I16" i="1"/>
  <c r="K10" i="1"/>
  <c r="F38" i="2"/>
  <c r="F37" i="2"/>
  <c r="F36" i="2"/>
  <c r="L36" i="2"/>
  <c r="K3" i="2"/>
  <c r="F26" i="2" s="1"/>
  <c r="F40" i="2"/>
  <c r="F39" i="2"/>
  <c r="F35" i="2"/>
  <c r="F34" i="2"/>
  <c r="F33" i="2"/>
  <c r="F32" i="2"/>
  <c r="L35" i="2"/>
  <c r="C32" i="1"/>
  <c r="I21" i="1"/>
  <c r="I22" i="1"/>
  <c r="I34" i="1"/>
  <c r="G36" i="1"/>
  <c r="G29" i="1"/>
  <c r="I24" i="1"/>
  <c r="K23" i="1"/>
  <c r="E19" i="1"/>
  <c r="C20" i="1"/>
  <c r="I35" i="1"/>
  <c r="K35" i="1"/>
  <c r="G30" i="1"/>
  <c r="G35" i="1"/>
  <c r="I32" i="1"/>
  <c r="E29" i="1"/>
  <c r="K32" i="1"/>
  <c r="G31" i="1"/>
  <c r="C34" i="1"/>
  <c r="E33" i="1"/>
  <c r="K31" i="1"/>
  <c r="K24" i="1"/>
  <c r="G34" i="1"/>
  <c r="C35" i="1"/>
  <c r="C11" i="1"/>
  <c r="C25" i="1"/>
  <c r="C30" i="1"/>
  <c r="C19" i="1"/>
  <c r="K19" i="1"/>
  <c r="G19" i="1"/>
  <c r="I29" i="1"/>
  <c r="K21" i="1"/>
  <c r="I23" i="1"/>
  <c r="G25" i="1"/>
  <c r="I25" i="1"/>
  <c r="C22" i="1"/>
  <c r="K22" i="1"/>
  <c r="E22" i="1"/>
  <c r="K29" i="1"/>
  <c r="C21" i="1"/>
  <c r="G20" i="1"/>
  <c r="I31" i="1"/>
  <c r="K33" i="1"/>
  <c r="I20" i="1"/>
  <c r="K20" i="1"/>
  <c r="K25" i="1"/>
  <c r="E11" i="1"/>
  <c r="K36" i="1"/>
  <c r="C24" i="1"/>
  <c r="G22" i="1"/>
  <c r="E23" i="1"/>
  <c r="E21" i="1"/>
  <c r="E35" i="1"/>
  <c r="G32" i="1"/>
  <c r="I19" i="1"/>
  <c r="E34" i="1"/>
  <c r="E32" i="1"/>
  <c r="E31" i="1"/>
  <c r="E25" i="1"/>
  <c r="K30" i="1"/>
  <c r="I33" i="1"/>
  <c r="I30" i="1"/>
  <c r="K34" i="1"/>
  <c r="G33" i="1"/>
  <c r="G21" i="1"/>
  <c r="G13" i="1"/>
  <c r="G24" i="1"/>
  <c r="E28" i="1"/>
  <c r="C33" i="1"/>
  <c r="C23" i="1"/>
  <c r="E24" i="1"/>
  <c r="E20" i="1"/>
  <c r="G11" i="1"/>
  <c r="G23" i="1"/>
  <c r="C31" i="1"/>
  <c r="E30" i="1"/>
  <c r="C29" i="1"/>
  <c r="K18" i="1" l="1"/>
  <c r="C18" i="1"/>
  <c r="G18" i="1"/>
  <c r="I18" i="1"/>
  <c r="F11" i="2"/>
  <c r="F12" i="2"/>
  <c r="F13" i="2"/>
  <c r="F25" i="2"/>
  <c r="F15" i="2"/>
  <c r="E27" i="1"/>
  <c r="M36" i="2"/>
  <c r="M35" i="2"/>
  <c r="F41" i="2"/>
  <c r="E13" i="1"/>
  <c r="C15" i="1"/>
  <c r="I15" i="1"/>
  <c r="G12" i="1"/>
  <c r="C16" i="1"/>
  <c r="E10" i="1"/>
  <c r="C13" i="1"/>
  <c r="F27" i="2"/>
  <c r="I36" i="1"/>
  <c r="G10" i="1"/>
  <c r="G15" i="1"/>
  <c r="K13" i="1"/>
  <c r="C14" i="1"/>
  <c r="E12" i="1"/>
  <c r="F28" i="2"/>
  <c r="L37" i="2"/>
  <c r="M37" i="2" s="1"/>
  <c r="G16" i="1"/>
  <c r="K11" i="1"/>
  <c r="E15" i="1"/>
  <c r="I12" i="1"/>
  <c r="F14" i="2"/>
  <c r="F22" i="2"/>
  <c r="G14" i="1"/>
  <c r="C10" i="1"/>
  <c r="E16" i="1"/>
  <c r="I14" i="1"/>
  <c r="K12" i="1"/>
  <c r="F23" i="2"/>
  <c r="E18" i="1"/>
  <c r="K28" i="1"/>
  <c r="K14" i="1"/>
  <c r="K15" i="1"/>
  <c r="K16" i="1"/>
  <c r="C36" i="1"/>
  <c r="C27" i="1" s="1"/>
  <c r="F16" i="2"/>
  <c r="I13" i="1"/>
  <c r="I10" i="1"/>
  <c r="I28" i="1"/>
  <c r="I11" i="1"/>
  <c r="E14" i="1"/>
  <c r="G28" i="1"/>
  <c r="F24" i="2"/>
  <c r="F17" i="2"/>
  <c r="C12" i="1"/>
  <c r="M38" i="2" l="1"/>
  <c r="C9" i="1"/>
  <c r="C7" i="1" s="1"/>
  <c r="D36" i="1" s="1"/>
  <c r="G27" i="1"/>
  <c r="I27" i="1"/>
  <c r="K27" i="1"/>
  <c r="F29" i="2"/>
  <c r="I9" i="1"/>
  <c r="E9" i="1"/>
  <c r="E7" i="1" s="1"/>
  <c r="F13" i="1" s="1"/>
  <c r="F18" i="2"/>
  <c r="K9" i="1"/>
  <c r="G9" i="1"/>
  <c r="D14" i="1" l="1"/>
  <c r="D10" i="1"/>
  <c r="D16" i="1"/>
  <c r="I7" i="1"/>
  <c r="J14" i="1" s="1"/>
  <c r="F16" i="1"/>
  <c r="F10" i="1"/>
  <c r="E9" i="2"/>
  <c r="G36" i="2" s="1"/>
  <c r="G7" i="1"/>
  <c r="D34" i="1"/>
  <c r="D35" i="1"/>
  <c r="D23" i="1"/>
  <c r="D30" i="1"/>
  <c r="D19" i="1"/>
  <c r="D24" i="1"/>
  <c r="C44" i="1" s="1"/>
  <c r="D25" i="1"/>
  <c r="D31" i="1"/>
  <c r="D32" i="1"/>
  <c r="D22" i="1"/>
  <c r="D33" i="1"/>
  <c r="D20" i="1"/>
  <c r="D21" i="1"/>
  <c r="D28" i="1"/>
  <c r="D29" i="1"/>
  <c r="D11" i="1"/>
  <c r="F23" i="1"/>
  <c r="F22" i="1"/>
  <c r="F33" i="1"/>
  <c r="F24" i="1"/>
  <c r="E44" i="1" s="1"/>
  <c r="F35" i="1"/>
  <c r="F29" i="1"/>
  <c r="F21" i="1"/>
  <c r="F30" i="1"/>
  <c r="F20" i="1"/>
  <c r="F25" i="1"/>
  <c r="F11" i="1"/>
  <c r="F32" i="1"/>
  <c r="F28" i="1"/>
  <c r="F34" i="1"/>
  <c r="F31" i="1"/>
  <c r="F36" i="1"/>
  <c r="F19" i="1"/>
  <c r="K7" i="1"/>
  <c r="D13" i="1"/>
  <c r="F14" i="1"/>
  <c r="F15" i="1"/>
  <c r="D12" i="1"/>
  <c r="F12" i="1"/>
  <c r="D15" i="1"/>
  <c r="E43" i="1" l="1"/>
  <c r="G25" i="2"/>
  <c r="J24" i="1"/>
  <c r="I44" i="1" s="1"/>
  <c r="C46" i="1"/>
  <c r="C40" i="1"/>
  <c r="J13" i="1"/>
  <c r="J35" i="1"/>
  <c r="J34" i="1"/>
  <c r="G37" i="2"/>
  <c r="G40" i="2"/>
  <c r="J15" i="1"/>
  <c r="J19" i="1"/>
  <c r="J25" i="1"/>
  <c r="J31" i="1"/>
  <c r="J32" i="1"/>
  <c r="J36" i="1"/>
  <c r="J28" i="1"/>
  <c r="J11" i="1"/>
  <c r="J10" i="1"/>
  <c r="E42" i="1"/>
  <c r="J16" i="1"/>
  <c r="J30" i="1"/>
  <c r="J21" i="1"/>
  <c r="J33" i="1"/>
  <c r="E40" i="1"/>
  <c r="J12" i="1"/>
  <c r="E46" i="1"/>
  <c r="D27" i="1"/>
  <c r="J23" i="1"/>
  <c r="J22" i="1"/>
  <c r="J20" i="1"/>
  <c r="J29" i="1"/>
  <c r="G11" i="2"/>
  <c r="G26" i="2"/>
  <c r="G35" i="2"/>
  <c r="G38" i="2"/>
  <c r="G23" i="2"/>
  <c r="G27" i="2"/>
  <c r="G17" i="2"/>
  <c r="G39" i="2"/>
  <c r="G28" i="2"/>
  <c r="G32" i="2"/>
  <c r="G33" i="2"/>
  <c r="G13" i="2"/>
  <c r="G34" i="2"/>
  <c r="G12" i="2"/>
  <c r="G15" i="2"/>
  <c r="G14" i="2"/>
  <c r="G24" i="2"/>
  <c r="G22" i="2"/>
  <c r="G16" i="2"/>
  <c r="C43" i="1"/>
  <c r="F18" i="1"/>
  <c r="E41" i="1"/>
  <c r="D18" i="1"/>
  <c r="C41" i="1"/>
  <c r="F9" i="1"/>
  <c r="E45" i="1"/>
  <c r="C42" i="1"/>
  <c r="D9" i="1"/>
  <c r="L24" i="1"/>
  <c r="K44" i="1" s="1"/>
  <c r="L21" i="1"/>
  <c r="L29" i="1"/>
  <c r="L31" i="1"/>
  <c r="L35" i="1"/>
  <c r="L20" i="1"/>
  <c r="L34" i="1"/>
  <c r="L19" i="1"/>
  <c r="L33" i="1"/>
  <c r="L22" i="1"/>
  <c r="L23" i="1"/>
  <c r="L25" i="1"/>
  <c r="L10" i="1"/>
  <c r="L30" i="1"/>
  <c r="L36" i="1"/>
  <c r="L32" i="1"/>
  <c r="L16" i="1"/>
  <c r="L12" i="1"/>
  <c r="L15" i="1"/>
  <c r="L14" i="1"/>
  <c r="L13" i="1"/>
  <c r="L28" i="1"/>
  <c r="L11" i="1"/>
  <c r="F27" i="1"/>
  <c r="C45" i="1"/>
  <c r="H20" i="1"/>
  <c r="H25" i="1"/>
  <c r="H35" i="1"/>
  <c r="H29" i="1"/>
  <c r="H21" i="1"/>
  <c r="H22" i="1"/>
  <c r="H34" i="1"/>
  <c r="H33" i="1"/>
  <c r="H23" i="1"/>
  <c r="H30" i="1"/>
  <c r="H24" i="1"/>
  <c r="G44" i="1" s="1"/>
  <c r="H32" i="1"/>
  <c r="H19" i="1"/>
  <c r="H13" i="1"/>
  <c r="H36" i="1"/>
  <c r="H11" i="1"/>
  <c r="H31" i="1"/>
  <c r="H10" i="1"/>
  <c r="H28" i="1"/>
  <c r="H15" i="1"/>
  <c r="H16" i="1"/>
  <c r="H14" i="1"/>
  <c r="H12" i="1"/>
  <c r="I43" i="1" l="1"/>
  <c r="K43" i="1"/>
  <c r="I41" i="1"/>
  <c r="I42" i="1"/>
  <c r="I46" i="1"/>
  <c r="J27" i="1"/>
  <c r="I40" i="1"/>
  <c r="D7" i="1"/>
  <c r="E47" i="1"/>
  <c r="J18" i="1"/>
  <c r="I45" i="1"/>
  <c r="J9" i="1"/>
  <c r="G45" i="1"/>
  <c r="L27" i="1"/>
  <c r="C47" i="1"/>
  <c r="G43" i="1"/>
  <c r="G41" i="2"/>
  <c r="G18" i="2"/>
  <c r="G29" i="2"/>
  <c r="K45" i="1"/>
  <c r="G42" i="1"/>
  <c r="L9" i="1"/>
  <c r="K40" i="1"/>
  <c r="K46" i="1"/>
  <c r="F7" i="1"/>
  <c r="H27" i="1"/>
  <c r="L18" i="1"/>
  <c r="K41" i="1"/>
  <c r="G40" i="1"/>
  <c r="H9" i="1"/>
  <c r="G46" i="1"/>
  <c r="G41" i="1"/>
  <c r="H18" i="1"/>
  <c r="K42" i="1"/>
  <c r="I47" i="1" l="1"/>
  <c r="J7" i="1"/>
  <c r="H7" i="1"/>
  <c r="G47" i="1"/>
  <c r="K47" i="1"/>
  <c r="L7" i="1"/>
</calcChain>
</file>

<file path=xl/sharedStrings.xml><?xml version="1.0" encoding="utf-8"?>
<sst xmlns="http://schemas.openxmlformats.org/spreadsheetml/2006/main" count="106" uniqueCount="52">
  <si>
    <t>CAPACID. VEÍCULO (t) :</t>
  </si>
  <si>
    <t>T. CARGA/DESC. (h) :</t>
  </si>
  <si>
    <t>TONELAGEM EXPEDIDA :</t>
  </si>
  <si>
    <t>VELOC. MÉDIA (km/h) :</t>
  </si>
  <si>
    <t>HORAS TRABALHADAS (h) :</t>
  </si>
  <si>
    <t>Distâncias (km) :</t>
  </si>
  <si>
    <t>R$</t>
  </si>
  <si>
    <t>R$/t</t>
  </si>
  <si>
    <t>%</t>
  </si>
  <si>
    <t>Custo-peso</t>
  </si>
  <si>
    <t>Custos fixos</t>
  </si>
  <si>
    <t>Remuneração do capital</t>
  </si>
  <si>
    <t>Salário do motorista</t>
  </si>
  <si>
    <t>Reposição do veículo</t>
  </si>
  <si>
    <t>Reposição da carroceria</t>
  </si>
  <si>
    <t>Licenciamento</t>
  </si>
  <si>
    <t>Seguro</t>
  </si>
  <si>
    <t>Créditos de impostos</t>
  </si>
  <si>
    <t>Custos variáveis</t>
  </si>
  <si>
    <t>Manutenção</t>
  </si>
  <si>
    <t>Combustível</t>
  </si>
  <si>
    <t>Lubrificantes</t>
  </si>
  <si>
    <t>Lavagem e lubrificação</t>
  </si>
  <si>
    <t>Pneus</t>
  </si>
  <si>
    <t>Despesas indiretas</t>
  </si>
  <si>
    <t>Salários e honorários</t>
  </si>
  <si>
    <t>Aluguéis</t>
  </si>
  <si>
    <t>Tarifas públicas</t>
  </si>
  <si>
    <t>Serviços profissionais</t>
  </si>
  <si>
    <t>Seguro de vida em grupo</t>
  </si>
  <si>
    <t>Impostos e taxas</t>
  </si>
  <si>
    <t>Depreciações</t>
  </si>
  <si>
    <t>Outros custos</t>
  </si>
  <si>
    <t>Veículo</t>
  </si>
  <si>
    <t>Salários</t>
  </si>
  <si>
    <t>Arla 32</t>
  </si>
  <si>
    <t>PESOS DOS PRINCIPAIS INSUMOS SOBRE OS CUSTOS NA CARGA LOTAÇÃO (%)</t>
  </si>
  <si>
    <t>Despesas indiretas, exceto salários</t>
  </si>
  <si>
    <t>SOMA (%)</t>
  </si>
  <si>
    <t>FONTE: DECOPE/NTC&amp;LOGÍSTICA</t>
  </si>
  <si>
    <t>Combustível e Arla 32</t>
  </si>
  <si>
    <t>COMPOSIÇÃO DO CUSTO PESO NO TRANSPORTE DE CARGA LOTAÇÃO</t>
  </si>
  <si>
    <t>400km</t>
  </si>
  <si>
    <t>50km</t>
  </si>
  <si>
    <t>800km</t>
  </si>
  <si>
    <t>2400km</t>
  </si>
  <si>
    <t>6000km</t>
  </si>
  <si>
    <t>HS TRAB. (h) :</t>
  </si>
  <si>
    <t>RS/ton</t>
  </si>
  <si>
    <t>Part. (%)</t>
  </si>
  <si>
    <t>TON. EXPEDIDA 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</si>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</sst>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#,##0.00_);[Red]\(#,##0.00\)"/>
    <numFmt numFmtId="166" formatCode="0.000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22"/>
      <color rgb="FF184782"/>
      <name val="Calibri"/>
      <family val="2"/>
      <scheme val="minor"/>
    </font>
    <font>
      <sz val="8"/>
      <color rgb="FF000000"/>
      <name val="Tahoma"/>
      <family val="2"/>
    </font>
    <font>
      <sz val="14"/>
      <color indexed="10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sz val="12"/>
      <name val="Calibri"/>
      <family val="2"/>
      <scheme val="minor"/>
    </font>
    <font>
      <sz val="11.6"/>
      <name val="Calibri"/>
      <family val="2"/>
      <scheme val="minor"/>
    </font>
    <font>
      <b/>
      <sz val="9"/>
      <color rgb="FF184782"/>
      <name val="Calibri"/>
      <family val="2"/>
      <scheme val="minor"/>
    </font>
    <font>
      <sz val="1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indexed="64"/>
      </patternFill>
    </fill>
  </fills>
  <borders count="71">
    <border>
      <left/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/>
      <right/>
      <top style="medium">
        <color rgb="FF184782"/>
      </top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/>
      <right style="dashDot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ashDot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/>
      <right style="dashDot">
        <color theme="0" tint="-0.14993743705557422"/>
      </right>
      <top/>
      <bottom/>
      <diagonal/>
    </border>
    <border>
      <left style="medium">
        <color theme="0" tint="-0.14996795556505021"/>
      </left>
      <right style="dashDot">
        <color theme="0" tint="-0.14993743705557422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medium">
        <color rgb="FF184782"/>
      </top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3743705557422"/>
      </bottom>
      <diagonal/>
    </border>
    <border>
      <left/>
      <right/>
      <top/>
      <bottom style="double">
        <color rgb="FFCF9E4D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4" borderId="39" xfId="1" applyFont="1" applyFill="1" applyBorder="1" applyAlignment="1" applyProtection="1">
      <alignment vertical="center"/>
      <protection locked="0"/>
    </xf>
    <xf numFmtId="0" fontId="4" fillId="4" borderId="40" xfId="1" applyFont="1" applyFill="1" applyBorder="1" applyAlignment="1" applyProtection="1">
      <alignment horizontal="center" vertical="center"/>
      <protection locked="0"/>
    </xf>
    <xf numFmtId="0" fontId="4" fillId="4" borderId="41" xfId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" fillId="2" borderId="42" xfId="1" applyFont="1" applyFill="1" applyBorder="1" applyAlignment="1" applyProtection="1">
      <alignment horizontal="left" vertical="center" indent="1"/>
      <protection locked="0"/>
    </xf>
    <xf numFmtId="4" fontId="9" fillId="2" borderId="43" xfId="1" applyNumberFormat="1" applyFont="1" applyFill="1" applyBorder="1" applyAlignment="1" applyProtection="1">
      <alignment horizontal="center" vertical="center"/>
      <protection locked="0"/>
    </xf>
    <xf numFmtId="2" fontId="9" fillId="0" borderId="44" xfId="0" applyNumberFormat="1" applyFont="1" applyBorder="1" applyAlignment="1" applyProtection="1">
      <alignment horizontal="center" vertical="center"/>
      <protection locked="0"/>
    </xf>
    <xf numFmtId="10" fontId="9" fillId="0" borderId="45" xfId="2" applyNumberFormat="1" applyFont="1" applyBorder="1" applyProtection="1">
      <protection locked="0"/>
    </xf>
    <xf numFmtId="0" fontId="3" fillId="2" borderId="46" xfId="1" applyFont="1" applyFill="1" applyBorder="1" applyAlignment="1" applyProtection="1">
      <alignment horizontal="left" vertical="center" indent="1"/>
      <protection locked="0"/>
    </xf>
    <xf numFmtId="4" fontId="9" fillId="2" borderId="47" xfId="1" applyNumberFormat="1" applyFont="1" applyFill="1" applyBorder="1" applyAlignment="1" applyProtection="1">
      <alignment horizontal="center" vertical="center"/>
      <protection locked="0"/>
    </xf>
    <xf numFmtId="2" fontId="9" fillId="0" borderId="48" xfId="0" applyNumberFormat="1" applyFont="1" applyBorder="1" applyAlignment="1" applyProtection="1">
      <alignment horizontal="center" vertical="center"/>
      <protection locked="0"/>
    </xf>
    <xf numFmtId="4" fontId="9" fillId="2" borderId="49" xfId="1" applyNumberFormat="1" applyFont="1" applyFill="1" applyBorder="1" applyAlignment="1" applyProtection="1">
      <alignment horizontal="center" vertical="center"/>
      <protection locked="0"/>
    </xf>
    <xf numFmtId="2" fontId="9" fillId="0" borderId="50" xfId="0" applyNumberFormat="1" applyFont="1" applyBorder="1" applyAlignment="1" applyProtection="1">
      <alignment horizontal="center" vertical="center"/>
      <protection locked="0"/>
    </xf>
    <xf numFmtId="0" fontId="3" fillId="2" borderId="51" xfId="1" applyFont="1" applyFill="1" applyBorder="1" applyAlignment="1" applyProtection="1">
      <alignment horizontal="left" vertical="center" indent="1"/>
      <protection locked="0"/>
    </xf>
    <xf numFmtId="4" fontId="9" fillId="2" borderId="52" xfId="1" applyNumberFormat="1" applyFont="1" applyFill="1" applyBorder="1" applyAlignment="1" applyProtection="1">
      <alignment horizontal="center" vertical="center"/>
      <protection locked="0"/>
    </xf>
    <xf numFmtId="2" fontId="9" fillId="0" borderId="53" xfId="0" applyNumberFormat="1" applyFont="1" applyBorder="1" applyAlignment="1" applyProtection="1">
      <alignment horizontal="center" vertical="center"/>
      <protection locked="0"/>
    </xf>
    <xf numFmtId="10" fontId="9" fillId="0" borderId="54" xfId="2" applyNumberFormat="1" applyFont="1" applyBorder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2" fontId="10" fillId="0" borderId="0" xfId="3" applyNumberFormat="1" applyFont="1" applyAlignment="1" applyProtection="1">
      <alignment horizontal="center" vertical="center"/>
      <protection locked="0"/>
    </xf>
    <xf numFmtId="10" fontId="10" fillId="0" borderId="0" xfId="0" applyNumberFormat="1" applyFont="1" applyAlignment="1" applyProtection="1">
      <alignment horizontal="center" vertical="center"/>
      <protection locked="0"/>
    </xf>
    <xf numFmtId="2" fontId="11" fillId="0" borderId="0" xfId="1" applyNumberFormat="1" applyFont="1" applyAlignment="1" applyProtection="1">
      <alignment horizontal="center" vertical="center"/>
      <protection locked="0"/>
    </xf>
    <xf numFmtId="0" fontId="4" fillId="3" borderId="55" xfId="1" applyFont="1" applyFill="1" applyBorder="1" applyAlignment="1" applyProtection="1">
      <alignment vertical="center"/>
      <protection locked="0"/>
    </xf>
    <xf numFmtId="0" fontId="4" fillId="3" borderId="37" xfId="1" applyFont="1" applyFill="1" applyBorder="1" applyAlignment="1" applyProtection="1">
      <alignment horizontal="center" vertical="center"/>
      <protection locked="0"/>
    </xf>
    <xf numFmtId="0" fontId="4" fillId="3" borderId="56" xfId="1" applyFont="1" applyFill="1" applyBorder="1" applyAlignment="1" applyProtection="1">
      <alignment horizontal="center" vertical="center"/>
      <protection locked="0"/>
    </xf>
    <xf numFmtId="164" fontId="9" fillId="2" borderId="57" xfId="1" quotePrefix="1" applyNumberFormat="1" applyFont="1" applyFill="1" applyBorder="1" applyAlignment="1" applyProtection="1">
      <alignment horizontal="center" vertical="center"/>
      <protection locked="0"/>
    </xf>
    <xf numFmtId="166" fontId="9" fillId="0" borderId="57" xfId="0" applyNumberFormat="1" applyFont="1" applyBorder="1" applyAlignment="1" applyProtection="1">
      <alignment horizontal="center" vertical="center"/>
      <protection locked="0"/>
    </xf>
    <xf numFmtId="10" fontId="9" fillId="0" borderId="58" xfId="2" applyNumberFormat="1" applyFont="1" applyBorder="1" applyAlignment="1" applyProtection="1">
      <alignment horizontal="center" vertical="center"/>
      <protection locked="0"/>
    </xf>
    <xf numFmtId="2" fontId="9" fillId="0" borderId="57" xfId="0" applyNumberFormat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 applyProtection="1">
      <alignment horizontal="left" vertical="center" indent="1"/>
      <protection locked="0"/>
    </xf>
    <xf numFmtId="10" fontId="10" fillId="0" borderId="0" xfId="0" applyNumberFormat="1" applyFont="1" applyAlignment="1" applyProtection="1">
      <alignment vertical="center"/>
      <protection locked="0"/>
    </xf>
    <xf numFmtId="164" fontId="9" fillId="2" borderId="59" xfId="1" quotePrefix="1" applyNumberFormat="1" applyFont="1" applyFill="1" applyBorder="1" applyAlignment="1" applyProtection="1">
      <alignment horizontal="center" vertical="center"/>
      <protection locked="0"/>
    </xf>
    <xf numFmtId="2" fontId="9" fillId="0" borderId="59" xfId="0" applyNumberFormat="1" applyFont="1" applyBorder="1" applyAlignment="1" applyProtection="1">
      <alignment horizontal="center" vertical="center"/>
      <protection locked="0"/>
    </xf>
    <xf numFmtId="10" fontId="9" fillId="0" borderId="60" xfId="2" applyNumberFormat="1" applyFont="1" applyBorder="1" applyAlignment="1" applyProtection="1">
      <alignment horizontal="center" vertical="center"/>
      <protection locked="0"/>
    </xf>
    <xf numFmtId="0" fontId="4" fillId="4" borderId="61" xfId="1" applyFont="1" applyFill="1" applyBorder="1" applyAlignment="1" applyProtection="1">
      <alignment vertical="center"/>
      <protection locked="0"/>
    </xf>
    <xf numFmtId="4" fontId="4" fillId="4" borderId="62" xfId="1" applyNumberFormat="1" applyFont="1" applyFill="1" applyBorder="1" applyAlignment="1" applyProtection="1">
      <alignment horizontal="center" vertical="center"/>
      <protection locked="0"/>
    </xf>
    <xf numFmtId="0" fontId="3" fillId="2" borderId="63" xfId="1" applyFont="1" applyFill="1" applyBorder="1" applyAlignment="1" applyProtection="1">
      <alignment horizontal="left" vertical="center" indent="1"/>
      <protection locked="0"/>
    </xf>
    <xf numFmtId="4" fontId="9" fillId="2" borderId="64" xfId="1" quotePrefix="1" applyNumberFormat="1" applyFont="1" applyFill="1" applyBorder="1" applyAlignment="1" applyProtection="1">
      <alignment horizontal="center" vertical="center"/>
      <protection locked="0"/>
    </xf>
    <xf numFmtId="10" fontId="9" fillId="0" borderId="65" xfId="2" applyNumberFormat="1" applyFont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left" vertical="center" indent="1"/>
      <protection locked="0"/>
    </xf>
    <xf numFmtId="4" fontId="9" fillId="2" borderId="5" xfId="1" quotePrefix="1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Protection="1">
      <protection locked="0"/>
    </xf>
    <xf numFmtId="10" fontId="6" fillId="0" borderId="0" xfId="2" applyNumberFormat="1" applyFont="1" applyProtection="1">
      <protection locked="0"/>
    </xf>
    <xf numFmtId="10" fontId="6" fillId="0" borderId="0" xfId="0" applyNumberFormat="1" applyFont="1" applyProtection="1">
      <protection locked="0"/>
    </xf>
    <xf numFmtId="0" fontId="3" fillId="2" borderId="7" xfId="1" applyFont="1" applyFill="1" applyBorder="1" applyAlignment="1" applyProtection="1">
      <alignment horizontal="left" vertical="center" indent="1"/>
      <protection locked="0"/>
    </xf>
    <xf numFmtId="4" fontId="9" fillId="2" borderId="8" xfId="1" quotePrefix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0" fontId="17" fillId="4" borderId="18" xfId="0" quotePrefix="1" applyFont="1" applyFill="1" applyBorder="1" applyAlignment="1">
      <alignment horizontal="right" vertical="center"/>
    </xf>
    <xf numFmtId="0" fontId="18" fillId="4" borderId="19" xfId="1" applyFont="1" applyFill="1" applyBorder="1" applyAlignment="1">
      <alignment vertical="center"/>
    </xf>
    <xf numFmtId="39" fontId="17" fillId="4" borderId="19" xfId="1" applyNumberFormat="1" applyFont="1" applyFill="1" applyBorder="1" applyAlignment="1">
      <alignment horizontal="right" vertical="center"/>
    </xf>
    <xf numFmtId="0" fontId="17" fillId="4" borderId="19" xfId="1" applyFont="1" applyFill="1" applyBorder="1" applyAlignment="1">
      <alignment horizontal="right" vertical="center"/>
    </xf>
    <xf numFmtId="2" fontId="17" fillId="4" borderId="19" xfId="1" applyNumberFormat="1" applyFont="1" applyFill="1" applyBorder="1" applyAlignment="1">
      <alignment horizontal="right" vertical="center"/>
    </xf>
    <xf numFmtId="3" fontId="17" fillId="4" borderId="20" xfId="1" applyNumberFormat="1" applyFont="1" applyFill="1" applyBorder="1" applyAlignment="1">
      <alignment horizontal="right" vertical="center"/>
    </xf>
    <xf numFmtId="0" fontId="19" fillId="2" borderId="0" xfId="1" applyFont="1" applyFill="1" applyAlignment="1">
      <alignment vertical="center"/>
    </xf>
    <xf numFmtId="0" fontId="17" fillId="4" borderId="16" xfId="0" quotePrefix="1" applyFont="1" applyFill="1" applyBorder="1" applyAlignment="1">
      <alignment horizontal="right" vertical="center"/>
    </xf>
    <xf numFmtId="0" fontId="18" fillId="4" borderId="17" xfId="1" applyFont="1" applyFill="1" applyBorder="1" applyAlignment="1">
      <alignment vertical="center"/>
    </xf>
    <xf numFmtId="39" fontId="17" fillId="4" borderId="17" xfId="1" applyNumberFormat="1" applyFont="1" applyFill="1" applyBorder="1" applyAlignment="1">
      <alignment horizontal="right" vertical="center"/>
    </xf>
    <xf numFmtId="0" fontId="17" fillId="4" borderId="17" xfId="0" quotePrefix="1" applyFont="1" applyFill="1" applyBorder="1" applyAlignment="1">
      <alignment horizontal="right" vertical="center"/>
    </xf>
    <xf numFmtId="2" fontId="17" fillId="4" borderId="17" xfId="1" applyNumberFormat="1" applyFont="1" applyFill="1" applyBorder="1" applyAlignment="1">
      <alignment horizontal="right" vertical="center"/>
    </xf>
    <xf numFmtId="0" fontId="17" fillId="3" borderId="10" xfId="1" applyFont="1" applyFill="1" applyBorder="1" applyAlignment="1">
      <alignment horizontal="left" vertical="center"/>
    </xf>
    <xf numFmtId="0" fontId="17" fillId="3" borderId="11" xfId="1" applyFont="1" applyFill="1" applyBorder="1" applyAlignment="1">
      <alignment horizontal="right" vertical="center"/>
    </xf>
    <xf numFmtId="3" fontId="17" fillId="3" borderId="11" xfId="1" applyNumberFormat="1" applyFont="1" applyFill="1" applyBorder="1" applyAlignment="1">
      <alignment horizontal="centerContinuous" vertical="center"/>
    </xf>
    <xf numFmtId="4" fontId="17" fillId="3" borderId="25" xfId="1" applyNumberFormat="1" applyFont="1" applyFill="1" applyBorder="1" applyAlignment="1">
      <alignment horizontal="centerContinuous" vertical="center"/>
    </xf>
    <xf numFmtId="3" fontId="18" fillId="3" borderId="25" xfId="1" applyNumberFormat="1" applyFont="1" applyFill="1" applyBorder="1" applyAlignment="1">
      <alignment horizontal="centerContinuous" vertical="center"/>
    </xf>
    <xf numFmtId="3" fontId="18" fillId="3" borderId="12" xfId="1" applyNumberFormat="1" applyFont="1" applyFill="1" applyBorder="1" applyAlignment="1">
      <alignment horizontal="centerContinuous" vertical="center"/>
    </xf>
    <xf numFmtId="0" fontId="21" fillId="2" borderId="0" xfId="1" applyFont="1" applyFill="1" applyAlignment="1">
      <alignment vertical="center"/>
    </xf>
    <xf numFmtId="0" fontId="17" fillId="3" borderId="13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15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2" borderId="0" xfId="1" applyFont="1" applyFill="1" applyAlignment="1">
      <alignment horizontal="center" vertical="center"/>
    </xf>
    <xf numFmtId="0" fontId="23" fillId="2" borderId="27" xfId="1" applyFont="1" applyFill="1" applyBorder="1" applyAlignment="1">
      <alignment horizontal="center" vertical="center"/>
    </xf>
    <xf numFmtId="0" fontId="17" fillId="4" borderId="35" xfId="1" applyFont="1" applyFill="1" applyBorder="1" applyAlignment="1">
      <alignment vertical="center"/>
    </xf>
    <xf numFmtId="0" fontId="17" fillId="4" borderId="36" xfId="1" applyFont="1" applyFill="1" applyBorder="1" applyAlignment="1">
      <alignment horizontal="center" vertical="center"/>
    </xf>
    <xf numFmtId="4" fontId="17" fillId="4" borderId="31" xfId="1" applyNumberFormat="1" applyFont="1" applyFill="1" applyBorder="1" applyAlignment="1">
      <alignment horizontal="right" vertical="center"/>
    </xf>
    <xf numFmtId="4" fontId="17" fillId="4" borderId="32" xfId="1" applyNumberFormat="1" applyFont="1" applyFill="1" applyBorder="1" applyAlignment="1">
      <alignment horizontal="right" vertical="center"/>
    </xf>
    <xf numFmtId="4" fontId="17" fillId="4" borderId="33" xfId="1" applyNumberFormat="1" applyFont="1" applyFill="1" applyBorder="1" applyAlignment="1">
      <alignment horizontal="right" vertical="center"/>
    </xf>
    <xf numFmtId="4" fontId="17" fillId="4" borderId="34" xfId="1" applyNumberFormat="1" applyFont="1" applyFill="1" applyBorder="1" applyAlignment="1">
      <alignment horizontal="right" vertical="center"/>
    </xf>
    <xf numFmtId="0" fontId="23" fillId="2" borderId="0" xfId="1" applyFont="1" applyFill="1" applyAlignment="1">
      <alignment horizontal="right" vertical="center"/>
    </xf>
    <xf numFmtId="4" fontId="23" fillId="2" borderId="0" xfId="1" applyNumberFormat="1" applyFont="1" applyFill="1" applyAlignment="1">
      <alignment horizontal="right" vertical="center"/>
    </xf>
    <xf numFmtId="4" fontId="23" fillId="2" borderId="27" xfId="1" applyNumberFormat="1" applyFont="1" applyFill="1" applyBorder="1" applyAlignment="1">
      <alignment horizontal="right" vertical="center"/>
    </xf>
    <xf numFmtId="0" fontId="22" fillId="2" borderId="0" xfId="1" applyFont="1" applyFill="1" applyAlignment="1">
      <alignment vertical="center"/>
    </xf>
    <xf numFmtId="0" fontId="24" fillId="2" borderId="1" xfId="1" applyFont="1" applyFill="1" applyBorder="1" applyAlignment="1">
      <alignment horizontal="left" vertical="center" indent="1"/>
    </xf>
    <xf numFmtId="4" fontId="24" fillId="2" borderId="2" xfId="1" applyNumberFormat="1" applyFont="1" applyFill="1" applyBorder="1" applyAlignment="1">
      <alignment horizontal="right" vertical="center"/>
    </xf>
    <xf numFmtId="2" fontId="24" fillId="2" borderId="2" xfId="1" applyNumberFormat="1" applyFont="1" applyFill="1" applyBorder="1" applyAlignment="1">
      <alignment horizontal="right" vertical="center"/>
    </xf>
    <xf numFmtId="4" fontId="24" fillId="2" borderId="28" xfId="1" applyNumberFormat="1" applyFont="1" applyFill="1" applyBorder="1" applyAlignment="1">
      <alignment horizontal="right" vertical="center"/>
    </xf>
    <xf numFmtId="2" fontId="24" fillId="2" borderId="22" xfId="1" applyNumberFormat="1" applyFont="1" applyFill="1" applyBorder="1" applyAlignment="1">
      <alignment horizontal="right" vertical="center"/>
    </xf>
    <xf numFmtId="4" fontId="24" fillId="2" borderId="3" xfId="1" applyNumberFormat="1" applyFont="1" applyFill="1" applyBorder="1" applyAlignment="1">
      <alignment horizontal="right" vertical="center"/>
    </xf>
    <xf numFmtId="0" fontId="24" fillId="2" borderId="4" xfId="1" applyFont="1" applyFill="1" applyBorder="1" applyAlignment="1">
      <alignment horizontal="left" vertical="center" indent="1"/>
    </xf>
    <xf numFmtId="4" fontId="24" fillId="2" borderId="5" xfId="1" applyNumberFormat="1" applyFont="1" applyFill="1" applyBorder="1" applyAlignment="1">
      <alignment horizontal="right" vertical="center"/>
    </xf>
    <xf numFmtId="2" fontId="24" fillId="2" borderId="5" xfId="1" applyNumberFormat="1" applyFont="1" applyFill="1" applyBorder="1" applyAlignment="1">
      <alignment horizontal="right" vertical="center"/>
    </xf>
    <xf numFmtId="4" fontId="24" fillId="2" borderId="29" xfId="1" applyNumberFormat="1" applyFont="1" applyFill="1" applyBorder="1" applyAlignment="1">
      <alignment horizontal="right" vertical="center"/>
    </xf>
    <xf numFmtId="2" fontId="24" fillId="2" borderId="23" xfId="1" applyNumberFormat="1" applyFont="1" applyFill="1" applyBorder="1" applyAlignment="1">
      <alignment horizontal="right" vertical="center"/>
    </xf>
    <xf numFmtId="4" fontId="24" fillId="2" borderId="6" xfId="1" applyNumberFormat="1" applyFont="1" applyFill="1" applyBorder="1" applyAlignment="1">
      <alignment horizontal="right" vertical="center"/>
    </xf>
    <xf numFmtId="0" fontId="24" fillId="2" borderId="7" xfId="1" applyFont="1" applyFill="1" applyBorder="1" applyAlignment="1">
      <alignment horizontal="left" vertical="center" indent="1"/>
    </xf>
    <xf numFmtId="4" fontId="24" fillId="2" borderId="8" xfId="1" applyNumberFormat="1" applyFont="1" applyFill="1" applyBorder="1" applyAlignment="1">
      <alignment horizontal="right" vertical="center"/>
    </xf>
    <xf numFmtId="2" fontId="24" fillId="2" borderId="8" xfId="1" applyNumberFormat="1" applyFont="1" applyFill="1" applyBorder="1" applyAlignment="1">
      <alignment horizontal="right" vertical="center"/>
    </xf>
    <xf numFmtId="4" fontId="24" fillId="2" borderId="30" xfId="1" applyNumberFormat="1" applyFont="1" applyFill="1" applyBorder="1" applyAlignment="1">
      <alignment horizontal="right" vertical="center"/>
    </xf>
    <xf numFmtId="2" fontId="24" fillId="2" borderId="24" xfId="1" applyNumberFormat="1" applyFont="1" applyFill="1" applyBorder="1" applyAlignment="1">
      <alignment horizontal="right" vertical="center"/>
    </xf>
    <xf numFmtId="4" fontId="24" fillId="2" borderId="9" xfId="1" applyNumberFormat="1" applyFont="1" applyFill="1" applyBorder="1" applyAlignment="1">
      <alignment horizontal="right" vertical="center"/>
    </xf>
    <xf numFmtId="0" fontId="24" fillId="2" borderId="0" xfId="1" applyFont="1" applyFill="1" applyAlignment="1">
      <alignment vertical="center"/>
    </xf>
    <xf numFmtId="4" fontId="24" fillId="2" borderId="0" xfId="1" applyNumberFormat="1" applyFont="1" applyFill="1" applyAlignment="1">
      <alignment horizontal="right" vertical="center"/>
    </xf>
    <xf numFmtId="2" fontId="24" fillId="2" borderId="0" xfId="1" applyNumberFormat="1" applyFont="1" applyFill="1" applyAlignment="1">
      <alignment horizontal="right" vertical="center"/>
    </xf>
    <xf numFmtId="4" fontId="24" fillId="2" borderId="27" xfId="1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vertical="center"/>
    </xf>
    <xf numFmtId="0" fontId="17" fillId="3" borderId="2" xfId="1" applyFont="1" applyFill="1" applyBorder="1" applyAlignment="1">
      <alignment vertical="center"/>
    </xf>
    <xf numFmtId="2" fontId="17" fillId="3" borderId="2" xfId="1" applyNumberFormat="1" applyFont="1" applyFill="1" applyBorder="1" applyAlignment="1">
      <alignment horizontal="right" vertical="center"/>
    </xf>
    <xf numFmtId="2" fontId="17" fillId="3" borderId="28" xfId="1" applyNumberFormat="1" applyFont="1" applyFill="1" applyBorder="1" applyAlignment="1">
      <alignment horizontal="right" vertical="center"/>
    </xf>
    <xf numFmtId="2" fontId="17" fillId="3" borderId="22" xfId="1" applyNumberFormat="1" applyFont="1" applyFill="1" applyBorder="1" applyAlignment="1">
      <alignment horizontal="right" vertical="center"/>
    </xf>
    <xf numFmtId="2" fontId="17" fillId="3" borderId="3" xfId="1" applyNumberFormat="1" applyFont="1" applyFill="1" applyBorder="1" applyAlignment="1">
      <alignment horizontal="right" vertical="center"/>
    </xf>
    <xf numFmtId="164" fontId="24" fillId="2" borderId="5" xfId="1" quotePrefix="1" applyNumberFormat="1" applyFont="1" applyFill="1" applyBorder="1" applyAlignment="1">
      <alignment horizontal="right" vertical="center"/>
    </xf>
    <xf numFmtId="0" fontId="24" fillId="0" borderId="4" xfId="1" applyFont="1" applyBorder="1" applyAlignment="1">
      <alignment horizontal="left" vertical="center" indent="1"/>
    </xf>
    <xf numFmtId="164" fontId="24" fillId="2" borderId="8" xfId="1" quotePrefix="1" applyNumberFormat="1" applyFont="1" applyFill="1" applyBorder="1" applyAlignment="1">
      <alignment horizontal="right" vertical="center"/>
    </xf>
    <xf numFmtId="0" fontId="21" fillId="2" borderId="0" xfId="1" applyFont="1" applyFill="1" applyAlignment="1">
      <alignment horizontal="left" vertical="center" indent="1"/>
    </xf>
    <xf numFmtId="2" fontId="21" fillId="2" borderId="0" xfId="1" applyNumberFormat="1" applyFont="1" applyFill="1" applyAlignment="1">
      <alignment horizontal="center" vertical="center"/>
    </xf>
    <xf numFmtId="4" fontId="21" fillId="2" borderId="0" xfId="1" applyNumberFormat="1" applyFont="1" applyFill="1" applyAlignment="1">
      <alignment horizontal="center" vertical="center"/>
    </xf>
    <xf numFmtId="2" fontId="21" fillId="2" borderId="27" xfId="1" applyNumberFormat="1" applyFont="1" applyFill="1" applyBorder="1" applyAlignment="1">
      <alignment horizontal="center" vertical="center"/>
    </xf>
    <xf numFmtId="0" fontId="21" fillId="2" borderId="27" xfId="1" applyFont="1" applyFill="1" applyBorder="1" applyAlignment="1">
      <alignment vertical="center"/>
    </xf>
    <xf numFmtId="0" fontId="17" fillId="4" borderId="1" xfId="1" applyFont="1" applyFill="1" applyBorder="1" applyAlignment="1">
      <alignment vertical="center"/>
    </xf>
    <xf numFmtId="4" fontId="17" fillId="4" borderId="2" xfId="1" applyNumberFormat="1" applyFont="1" applyFill="1" applyBorder="1" applyAlignment="1">
      <alignment horizontal="right" vertical="center"/>
    </xf>
    <xf numFmtId="4" fontId="17" fillId="4" borderId="28" xfId="1" applyNumberFormat="1" applyFont="1" applyFill="1" applyBorder="1" applyAlignment="1">
      <alignment horizontal="right" vertical="center"/>
    </xf>
    <xf numFmtId="4" fontId="17" fillId="4" borderId="22" xfId="1" applyNumberFormat="1" applyFont="1" applyFill="1" applyBorder="1" applyAlignment="1">
      <alignment horizontal="right" vertical="center"/>
    </xf>
    <xf numFmtId="4" fontId="17" fillId="4" borderId="3" xfId="1" applyNumberFormat="1" applyFont="1" applyFill="1" applyBorder="1" applyAlignment="1">
      <alignment horizontal="right" vertical="center"/>
    </xf>
    <xf numFmtId="4" fontId="24" fillId="2" borderId="5" xfId="1" quotePrefix="1" applyNumberFormat="1" applyFont="1" applyFill="1" applyBorder="1" applyAlignment="1">
      <alignment horizontal="right" vertical="center"/>
    </xf>
    <xf numFmtId="4" fontId="24" fillId="2" borderId="23" xfId="1" applyNumberFormat="1" applyFont="1" applyFill="1" applyBorder="1" applyAlignment="1">
      <alignment horizontal="right" vertical="center"/>
    </xf>
    <xf numFmtId="4" fontId="24" fillId="2" borderId="8" xfId="1" quotePrefix="1" applyNumberFormat="1" applyFont="1" applyFill="1" applyBorder="1" applyAlignment="1">
      <alignment horizontal="right" vertical="center"/>
    </xf>
    <xf numFmtId="4" fontId="24" fillId="2" borderId="24" xfId="1" applyNumberFormat="1" applyFont="1" applyFill="1" applyBorder="1" applyAlignment="1">
      <alignment horizontal="right" vertical="center"/>
    </xf>
    <xf numFmtId="0" fontId="24" fillId="2" borderId="0" xfId="1" applyFont="1" applyFill="1" applyAlignment="1">
      <alignment horizontal="left" vertical="center" indent="1"/>
    </xf>
    <xf numFmtId="164" fontId="24" fillId="2" borderId="0" xfId="1" quotePrefix="1" applyNumberFormat="1" applyFont="1" applyFill="1" applyAlignment="1">
      <alignment horizontal="right" vertical="center"/>
    </xf>
    <xf numFmtId="0" fontId="25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25" fillId="0" borderId="0" xfId="1" applyFont="1" applyAlignment="1">
      <alignment vertical="top"/>
    </xf>
    <xf numFmtId="3" fontId="27" fillId="3" borderId="37" xfId="1" applyNumberFormat="1" applyFont="1" applyFill="1" applyBorder="1" applyAlignment="1">
      <alignment horizontal="centerContinuous" vertical="center"/>
    </xf>
    <xf numFmtId="4" fontId="27" fillId="3" borderId="37" xfId="1" applyNumberFormat="1" applyFont="1" applyFill="1" applyBorder="1" applyAlignment="1">
      <alignment horizontal="centerContinuous" vertical="center"/>
    </xf>
    <xf numFmtId="3" fontId="27" fillId="3" borderId="38" xfId="1" applyNumberFormat="1" applyFont="1" applyFill="1" applyBorder="1" applyAlignment="1">
      <alignment horizontal="centerContinuous" vertical="center"/>
    </xf>
    <xf numFmtId="0" fontId="30" fillId="0" borderId="0" xfId="1" applyFont="1" applyAlignment="1">
      <alignment vertical="center"/>
    </xf>
    <xf numFmtId="9" fontId="20" fillId="4" borderId="21" xfId="2" applyFont="1" applyFill="1" applyBorder="1" applyAlignment="1">
      <alignment horizontal="right" vertical="center"/>
    </xf>
    <xf numFmtId="0" fontId="31" fillId="0" borderId="0" xfId="0" applyFont="1" applyProtection="1">
      <protection locked="0"/>
    </xf>
    <xf numFmtId="0" fontId="23" fillId="0" borderId="0" xfId="1" applyFont="1" applyAlignment="1" applyProtection="1">
      <alignment vertical="center"/>
      <protection locked="0"/>
    </xf>
    <xf numFmtId="2" fontId="31" fillId="0" borderId="0" xfId="0" applyNumberFormat="1" applyFont="1" applyAlignment="1" applyProtection="1">
      <alignment horizontal="center" vertical="center"/>
      <protection locked="0"/>
    </xf>
    <xf numFmtId="10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2" fontId="27" fillId="4" borderId="59" xfId="1" applyNumberFormat="1" applyFont="1" applyFill="1" applyBorder="1" applyAlignment="1">
      <alignment horizontal="center" vertical="center"/>
    </xf>
    <xf numFmtId="0" fontId="27" fillId="4" borderId="70" xfId="1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left" vertical="center"/>
    </xf>
    <xf numFmtId="0" fontId="28" fillId="2" borderId="68" xfId="1" applyFont="1" applyFill="1" applyBorder="1" applyAlignment="1">
      <alignment horizontal="left" vertical="center"/>
    </xf>
    <xf numFmtId="2" fontId="24" fillId="2" borderId="69" xfId="1" applyNumberFormat="1" applyFont="1" applyFill="1" applyBorder="1" applyAlignment="1">
      <alignment horizontal="center" vertical="center"/>
    </xf>
    <xf numFmtId="2" fontId="24" fillId="2" borderId="68" xfId="1" applyNumberFormat="1" applyFont="1" applyFill="1" applyBorder="1" applyAlignment="1">
      <alignment horizontal="center" vertical="center"/>
    </xf>
    <xf numFmtId="165" fontId="29" fillId="0" borderId="69" xfId="0" applyNumberFormat="1" applyFont="1" applyBorder="1" applyAlignment="1">
      <alignment horizontal="center"/>
    </xf>
    <xf numFmtId="165" fontId="29" fillId="0" borderId="68" xfId="0" applyNumberFormat="1" applyFont="1" applyBorder="1" applyAlignment="1">
      <alignment horizontal="center"/>
    </xf>
    <xf numFmtId="0" fontId="27" fillId="4" borderId="51" xfId="1" applyFont="1" applyFill="1" applyBorder="1" applyAlignment="1">
      <alignment horizontal="left" vertical="center"/>
    </xf>
    <xf numFmtId="0" fontId="27" fillId="4" borderId="59" xfId="1" applyFont="1" applyFill="1" applyBorder="1" applyAlignment="1">
      <alignment horizontal="left" vertical="center"/>
    </xf>
    <xf numFmtId="0" fontId="27" fillId="4" borderId="59" xfId="1" applyFont="1" applyFill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/>
    </xf>
    <xf numFmtId="0" fontId="16" fillId="0" borderId="67" xfId="1" applyFont="1" applyBorder="1" applyAlignment="1">
      <alignment horizontal="center" vertical="center" wrapText="1"/>
    </xf>
    <xf numFmtId="0" fontId="17" fillId="4" borderId="35" xfId="1" applyFont="1" applyFill="1" applyBorder="1" applyAlignment="1">
      <alignment horizontal="left" vertical="center"/>
    </xf>
    <xf numFmtId="0" fontId="17" fillId="4" borderId="33" xfId="1" applyFont="1" applyFill="1" applyBorder="1" applyAlignment="1">
      <alignment horizontal="left" vertical="center"/>
    </xf>
    <xf numFmtId="0" fontId="26" fillId="3" borderId="55" xfId="1" applyFont="1" applyFill="1" applyBorder="1" applyAlignment="1">
      <alignment horizontal="center" vertical="center"/>
    </xf>
    <xf numFmtId="0" fontId="26" fillId="3" borderId="37" xfId="1" applyFont="1" applyFill="1" applyBorder="1" applyAlignment="1">
      <alignment horizontal="center" vertical="center"/>
    </xf>
    <xf numFmtId="0" fontId="28" fillId="2" borderId="42" xfId="1" applyFont="1" applyFill="1" applyBorder="1" applyAlignment="1">
      <alignment horizontal="left" vertical="center" wrapText="1"/>
    </xf>
    <xf numFmtId="0" fontId="28" fillId="2" borderId="57" xfId="1" applyFont="1" applyFill="1" applyBorder="1" applyAlignment="1">
      <alignment horizontal="left" vertical="center" wrapText="1"/>
    </xf>
    <xf numFmtId="2" fontId="24" fillId="2" borderId="12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Pesosfu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071694985495233"/>
          <c:y val="0.22585268001720779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pt-BR"/>
        </a:p>
      </c:txPr>
    </c:title>
    <c:autoTitleDeleted val="0"/>
    <c:view3D>
      <c:rotX val="3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Painel!$D$1</c:f>
              <c:strCache>
                <c:ptCount val="1"/>
                <c:pt idx="0">
                  <c:v>COMPOSIÇÃO DO CUSTO PESO NO TRANSPORTE DE CARGA LOTAÇÃO</c:v>
                </c:pt>
              </c:strCache>
            </c:strRef>
          </c:tx>
          <c:explosion val="28"/>
          <c:dPt>
            <c:idx val="0"/>
            <c:bubble3D val="0"/>
            <c:explosion val="4"/>
            <c:spPr>
              <a:solidFill>
                <a:srgbClr val="184782"/>
              </a:solidFill>
            </c:spPr>
            <c:extLst>
              <c:ext xmlns:c16="http://schemas.microsoft.com/office/drawing/2014/chart" uri="{C3380CC4-5D6E-409C-BE32-E72D297353CC}">
                <c16:uniqueId val="{00000000-C58E-4758-91D0-3812C0910DF2}"/>
              </c:ext>
            </c:extLst>
          </c:dPt>
          <c:dPt>
            <c:idx val="1"/>
            <c:bubble3D val="0"/>
            <c:explosion val="5"/>
            <c:spPr>
              <a:solidFill>
                <a:srgbClr val="CF9E4D"/>
              </a:solidFill>
            </c:spPr>
            <c:extLst>
              <c:ext xmlns:c16="http://schemas.microsoft.com/office/drawing/2014/chart" uri="{C3380CC4-5D6E-409C-BE32-E72D297353CC}">
                <c16:uniqueId val="{00000001-C58E-4758-91D0-3812C0910DF2}"/>
              </c:ext>
            </c:extLst>
          </c:dPt>
          <c:dPt>
            <c:idx val="2"/>
            <c:bubble3D val="0"/>
            <c:explosion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C58E-4758-91D0-3812C0910D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(Painel!$D$10,Painel!$D$21,Painel!$D$31)</c:f>
              <c:strCache>
                <c:ptCount val="3"/>
                <c:pt idx="0">
                  <c:v>Custos fixos</c:v>
                </c:pt>
                <c:pt idx="1">
                  <c:v>Custos variáveis</c:v>
                </c:pt>
                <c:pt idx="2">
                  <c:v>Despesas indiretas</c:v>
                </c:pt>
              </c:strCache>
            </c:strRef>
          </c:cat>
          <c:val>
            <c:numRef>
              <c:f>(Painel!$G$18,Painel!$G$29,Painel!$G$41)</c:f>
              <c:numCache>
                <c:formatCode>0.00%</c:formatCode>
                <c:ptCount val="3"/>
                <c:pt idx="0">
                  <c:v>0.53371185028748069</c:v>
                </c:pt>
                <c:pt idx="1">
                  <c:v>0.35814157691173698</c:v>
                </c:pt>
                <c:pt idx="2">
                  <c:v>0.10814657280078241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E-4758-91D0-3812C0910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691746864975207E-2"/>
          <c:y val="0.78057665443753232"/>
          <c:w val="0.9"/>
          <c:h val="0.10130479546410287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184782"/>
                </a:solidFill>
                <a:latin typeface="Calibri"/>
                <a:ea typeface="Calibri"/>
                <a:cs typeface="Calibri"/>
              </a:defRPr>
            </a:pPr>
            <a:r>
              <a:rPr lang="pt-BR">
                <a:solidFill>
                  <a:srgbClr val="184782"/>
                </a:solidFill>
              </a:rPr>
              <a:t>PARTICIPAÇÃO DOS PRINCIPAIS INSUMOS NOS CUSTOS TOTAIS DA DISTÂNCIA MÉDIA 800 km (%)</a:t>
            </a:r>
          </a:p>
        </c:rich>
      </c:tx>
      <c:layout>
        <c:manualLayout>
          <c:xMode val="edge"/>
          <c:yMode val="edge"/>
          <c:x val="0.1280433641446993"/>
          <c:y val="3.7470868840623714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2071182306802"/>
          <c:y val="0.30041810347477055"/>
          <c:w val="0.73155184817476304"/>
          <c:h val="0.69031625015733156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rgbClr val="184782"/>
              </a:solidFill>
            </c:spPr>
            <c:extLst>
              <c:ext xmlns:c16="http://schemas.microsoft.com/office/drawing/2014/chart" uri="{C3380CC4-5D6E-409C-BE32-E72D297353CC}">
                <c16:uniqueId val="{00000000-6BA9-4D5E-9B59-B50D67C838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A9-4D5E-9B59-B50D67C838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A9-4D5E-9B59-B50D67C83840}"/>
              </c:ext>
            </c:extLst>
          </c:dPt>
          <c:dPt>
            <c:idx val="3"/>
            <c:bubble3D val="0"/>
            <c:spPr>
              <a:solidFill>
                <a:srgbClr val="CF9E4D"/>
              </a:solidFill>
            </c:spPr>
            <c:extLst>
              <c:ext xmlns:c16="http://schemas.microsoft.com/office/drawing/2014/chart" uri="{C3380CC4-5D6E-409C-BE32-E72D297353CC}">
                <c16:uniqueId val="{00000003-6BA9-4D5E-9B59-B50D67C8384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BA9-4D5E-9B59-B50D67C8384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BA9-4D5E-9B59-B50D67C83840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BA9-4D5E-9B59-B50D67C83840}"/>
              </c:ext>
            </c:extLst>
          </c:dPt>
          <c:dLbls>
            <c:dLbl>
              <c:idx val="0"/>
              <c:layout>
                <c:manualLayout>
                  <c:x val="4.5977018152161195E-2"/>
                  <c:y val="-4.532577094853633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A9-4D5E-9B59-B50D67C83840}"/>
                </c:ext>
              </c:extLst>
            </c:dLbl>
            <c:dLbl>
              <c:idx val="1"/>
              <c:layout>
                <c:manualLayout>
                  <c:x val="-7.6481835564053535E-3"/>
                  <c:y val="9.03526403461862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A9-4D5E-9B59-B50D67C83840}"/>
                </c:ext>
              </c:extLst>
            </c:dLbl>
            <c:dLbl>
              <c:idx val="2"/>
              <c:layout>
                <c:manualLayout>
                  <c:x val="-1.0197578075207138E-2"/>
                  <c:y val="3.456428602162434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8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A9-4D5E-9B59-B50D67C83840}"/>
                </c:ext>
              </c:extLst>
            </c:dLbl>
            <c:dLbl>
              <c:idx val="3"/>
              <c:layout>
                <c:manualLayout>
                  <c:x val="2.0395156150414276E-2"/>
                  <c:y val="0.13114754098360656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9-4D5E-9B59-B50D67C83840}"/>
                </c:ext>
              </c:extLst>
            </c:dLbl>
            <c:dLbl>
              <c:idx val="4"/>
              <c:layout>
                <c:manualLayout>
                  <c:x val="-5.6962306097971024E-2"/>
                  <c:y val="-3.938310989814797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A9-4D5E-9B59-B50D67C83840}"/>
                </c:ext>
              </c:extLst>
            </c:dLbl>
            <c:dLbl>
              <c:idx val="5"/>
              <c:layout>
                <c:manualLayout>
                  <c:x val="6.969161359610164E-2"/>
                  <c:y val="-4.230405625526317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9-4D5E-9B59-B50D67C83840}"/>
                </c:ext>
              </c:extLst>
            </c:dLbl>
            <c:dLbl>
              <c:idx val="6"/>
              <c:layout>
                <c:manualLayout>
                  <c:x val="0.17335882727852134"/>
                  <c:y val="-3.747072599531615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80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A9-4D5E-9B59-B50D67C8384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plot0920!$A$40:$A$46</c:f>
              <c:strCache>
                <c:ptCount val="7"/>
                <c:pt idx="0">
                  <c:v>Veículo</c:v>
                </c:pt>
                <c:pt idx="1">
                  <c:v>Manutenção</c:v>
                </c:pt>
                <c:pt idx="2">
                  <c:v>Salários</c:v>
                </c:pt>
                <c:pt idx="3">
                  <c:v>Combustível e Arla 32</c:v>
                </c:pt>
                <c:pt idx="4">
                  <c:v>Pneus</c:v>
                </c:pt>
                <c:pt idx="5">
                  <c:v>Despesas indiretas, exceto salários</c:v>
                </c:pt>
                <c:pt idx="6">
                  <c:v>Créditos de impostos</c:v>
                </c:pt>
              </c:strCache>
            </c:strRef>
          </c:cat>
          <c:val>
            <c:numRef>
              <c:f>plot0920!$G$40:$G$46</c:f>
              <c:numCache>
                <c:formatCode>0.00</c:formatCode>
                <c:ptCount val="7"/>
                <c:pt idx="0">
                  <c:v>34.365263362307246</c:v>
                </c:pt>
                <c:pt idx="1">
                  <c:v>8.0879786631791042</c:v>
                </c:pt>
                <c:pt idx="2">
                  <c:v>23.977509845307434</c:v>
                </c:pt>
                <c:pt idx="3">
                  <c:v>27.252457805114599</c:v>
                </c:pt>
                <c:pt idx="4">
                  <c:v>4.1242001060023821</c:v>
                </c:pt>
                <c:pt idx="5">
                  <c:v>7.4286669314819225</c:v>
                </c:pt>
                <c:pt idx="6" formatCode="#,##0.00_);[Red]\(#,##0.00\)">
                  <c:v>-5.2360767133926869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A9-4D5E-9B59-B50D67C8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9050" cap="rnd" cmpd="sng">
      <a:solidFill>
        <a:srgbClr val="184782"/>
      </a:solidFill>
    </a:ln>
    <a:effectLst>
      <a:glow rad="50800">
        <a:schemeClr val="tx2">
          <a:lumMod val="40000"/>
          <a:lumOff val="6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Drop" dropStyle="combo" dx="22" fmlaLink="$J$5" fmlaRange="$P$3:$P$7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752475</xdr:rowOff>
    </xdr:from>
    <xdr:to>
      <xdr:col>11</xdr:col>
      <xdr:colOff>342900</xdr:colOff>
      <xdr:row>28</xdr:row>
      <xdr:rowOff>123825</xdr:rowOff>
    </xdr:to>
    <xdr:graphicFrame macro="">
      <xdr:nvGraphicFramePr>
        <xdr:cNvPr id="2056" name="Gráfico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95250</xdr:rowOff>
        </xdr:from>
        <xdr:to>
          <xdr:col>8</xdr:col>
          <xdr:colOff>180975</xdr:colOff>
          <xdr:row>5</xdr:row>
          <xdr:rowOff>171450</xdr:rowOff>
        </xdr:to>
        <xdr:grpSp>
          <xdr:nvGrpSpPr>
            <xdr:cNvPr id="2057" name="Grupo 9">
              <a:extLs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86375" y="1114425"/>
              <a:ext cx="1552575" cy="619125"/>
              <a:chOff x="4156155" y="1022521"/>
              <a:chExt cx="1868762" cy="501512"/>
            </a:xfrm>
          </xdr:grpSpPr>
          <xdr:sp macro="" textlink="">
            <xdr:nvSpPr>
              <xdr:cNvPr id="2054" name="Group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4156155" y="1022521"/>
                <a:ext cx="1868762" cy="50151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Km</a:t>
                </a:r>
              </a:p>
            </xdr:txBody>
          </xdr:sp>
          <xdr:sp macro="" textlink="">
            <xdr:nvSpPr>
              <xdr:cNvPr id="2055" name="Drop Down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4590225" y="1169093"/>
                <a:ext cx="111765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48</xdr:row>
      <xdr:rowOff>95250</xdr:rowOff>
    </xdr:from>
    <xdr:to>
      <xdr:col>8</xdr:col>
      <xdr:colOff>409575</xdr:colOff>
      <xdr:row>71</xdr:row>
      <xdr:rowOff>76200</xdr:rowOff>
    </xdr:to>
    <xdr:graphicFrame macro="">
      <xdr:nvGraphicFramePr>
        <xdr:cNvPr id="3073" name="Gráfico 3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102882</xdr:rowOff>
    </xdr:from>
    <xdr:to>
      <xdr:col>1</xdr:col>
      <xdr:colOff>485775</xdr:colOff>
      <xdr:row>0</xdr:row>
      <xdr:rowOff>821042</xdr:rowOff>
    </xdr:to>
    <xdr:pic>
      <xdr:nvPicPr>
        <xdr:cNvPr id="3074" name="Imagem 1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102882"/>
          <a:ext cx="2190750" cy="7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36</xdr:row>
      <xdr:rowOff>48618</xdr:rowOff>
    </xdr:from>
    <xdr:to>
      <xdr:col>1</xdr:col>
      <xdr:colOff>342900</xdr:colOff>
      <xdr:row>37</xdr:row>
      <xdr:rowOff>494306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8544918"/>
          <a:ext cx="2085975" cy="68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20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7">
          <cell r="B17">
            <v>212.45625000000001</v>
          </cell>
        </row>
        <row r="18">
          <cell r="B18">
            <v>6</v>
          </cell>
        </row>
        <row r="19">
          <cell r="B19">
            <v>25.003999999999998</v>
          </cell>
        </row>
        <row r="20">
          <cell r="B20">
            <v>56.75</v>
          </cell>
        </row>
        <row r="23">
          <cell r="B23">
            <v>190925.78077935355</v>
          </cell>
        </row>
      </sheetData>
      <sheetData sheetId="1" refreshError="1"/>
      <sheetData sheetId="2" refreshError="1"/>
      <sheetData sheetId="3" refreshError="1"/>
      <sheetData sheetId="4">
        <row r="3">
          <cell r="B3" t="str">
            <v>SETEMBRO|20</v>
          </cell>
        </row>
      </sheetData>
      <sheetData sheetId="5">
        <row r="99">
          <cell r="H99">
            <v>6379.6635926833342</v>
          </cell>
        </row>
        <row r="100">
          <cell r="H100">
            <v>9767.1065516146391</v>
          </cell>
        </row>
        <row r="101">
          <cell r="H101">
            <v>4535.5318613391764</v>
          </cell>
        </row>
        <row r="102">
          <cell r="H102">
            <v>801.26757131965223</v>
          </cell>
        </row>
        <row r="103">
          <cell r="H103">
            <v>633.29583333317862</v>
          </cell>
        </row>
        <row r="104">
          <cell r="H104">
            <v>4417.8910669929564</v>
          </cell>
        </row>
        <row r="105">
          <cell r="H105">
            <v>-493.65394752094164</v>
          </cell>
        </row>
        <row r="109">
          <cell r="H109">
            <v>0.32714919514459273</v>
          </cell>
        </row>
        <row r="110">
          <cell r="H110">
            <v>1.5199943119141957</v>
          </cell>
        </row>
        <row r="111">
          <cell r="H111">
            <v>5.2279289809944784E-2</v>
          </cell>
        </row>
        <row r="112">
          <cell r="H112">
            <v>3.9730176207372181E-2</v>
          </cell>
        </row>
        <row r="113">
          <cell r="H113">
            <v>9.9739655612936476E-2</v>
          </cell>
        </row>
        <row r="114">
          <cell r="H114">
            <v>0.23793710649020774</v>
          </cell>
        </row>
        <row r="115">
          <cell r="H115">
            <v>-0.21060675050408059</v>
          </cell>
        </row>
      </sheetData>
      <sheetData sheetId="6">
        <row r="9">
          <cell r="I9">
            <v>1395551.1365873138</v>
          </cell>
        </row>
        <row r="16">
          <cell r="I16">
            <v>361922.0086967884</v>
          </cell>
        </row>
        <row r="21">
          <cell r="I21">
            <v>235603.64535214315</v>
          </cell>
        </row>
        <row r="28">
          <cell r="I28">
            <v>565751.25511878042</v>
          </cell>
        </row>
        <row r="35">
          <cell r="I35">
            <v>21887.55509238557</v>
          </cell>
        </row>
        <row r="39">
          <cell r="I39">
            <v>409773.26288748905</v>
          </cell>
        </row>
        <row r="48">
          <cell r="I48">
            <v>492241.34616260917</v>
          </cell>
        </row>
        <row r="53">
          <cell r="I53">
            <v>530873.75582070288</v>
          </cell>
        </row>
        <row r="67">
          <cell r="I67">
            <v>-202241.26103146974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R54"/>
  <sheetViews>
    <sheetView showGridLines="0" tabSelected="1" zoomScaleNormal="100" workbookViewId="0">
      <selection activeCell="J16" sqref="J16"/>
    </sheetView>
  </sheetViews>
  <sheetFormatPr defaultRowHeight="12.75" x14ac:dyDescent="0.2"/>
  <cols>
    <col min="1" max="2" width="9.140625" style="1"/>
    <col min="3" max="3" width="24.28515625" style="1" customWidth="1"/>
    <col min="4" max="4" width="24.28515625" style="1" bestFit="1" customWidth="1"/>
    <col min="5" max="5" width="18.28515625" style="1" hidden="1" customWidth="1"/>
    <col min="6" max="6" width="12" style="1" customWidth="1"/>
    <col min="7" max="7" width="11.5703125" style="1" customWidth="1"/>
    <col min="8" max="8" width="9.42578125" style="1" customWidth="1"/>
    <col min="9" max="9" width="9.140625" style="1" customWidth="1"/>
    <col min="10" max="10" width="14.85546875" style="2" bestFit="1" customWidth="1"/>
    <col min="11" max="11" width="10.5703125" style="2" customWidth="1"/>
    <col min="12" max="12" width="9.42578125" style="2" customWidth="1"/>
    <col min="13" max="13" width="9.140625" style="2" customWidth="1"/>
    <col min="14" max="14" width="12.5703125" style="2" customWidth="1"/>
    <col min="15" max="18" width="9.140625" style="2"/>
    <col min="19" max="16384" width="9.140625" style="1"/>
  </cols>
  <sheetData>
    <row r="1" spans="1:18" ht="66.75" customHeight="1" thickBot="1" x14ac:dyDescent="0.25">
      <c r="D1" s="154" t="s">
        <v>41</v>
      </c>
      <c r="E1" s="154"/>
      <c r="F1" s="154"/>
      <c r="G1" s="154"/>
      <c r="H1" s="154"/>
      <c r="I1" s="154"/>
      <c r="J1" s="154"/>
      <c r="K1" s="154"/>
      <c r="L1" s="3"/>
      <c r="M1" s="3"/>
      <c r="N1" s="3"/>
      <c r="O1" s="3"/>
      <c r="P1" s="3"/>
    </row>
    <row r="2" spans="1:18" ht="13.5" thickTop="1" x14ac:dyDescent="0.2">
      <c r="A2" s="2"/>
      <c r="B2" s="2"/>
      <c r="C2" s="2"/>
      <c r="D2" s="2"/>
      <c r="E2" s="2"/>
      <c r="F2" s="2"/>
    </row>
    <row r="3" spans="1:18" ht="14.25" x14ac:dyDescent="0.2">
      <c r="A3" s="2"/>
      <c r="B3" s="2"/>
      <c r="C3" s="2"/>
      <c r="D3" s="2"/>
      <c r="E3" s="2"/>
      <c r="F3" s="2"/>
      <c r="G3" s="2"/>
      <c r="H3" s="2"/>
      <c r="I3" s="2"/>
      <c r="J3" s="4"/>
      <c r="K3" s="4">
        <f>VLOOKUP(J5,N3:P7,2,0)</f>
        <v>800</v>
      </c>
      <c r="L3" s="4"/>
      <c r="M3" s="4"/>
      <c r="N3" s="4">
        <v>1</v>
      </c>
      <c r="O3" s="4">
        <v>50</v>
      </c>
      <c r="P3" s="5" t="s">
        <v>43</v>
      </c>
    </row>
    <row r="4" spans="1:18" ht="14.25" x14ac:dyDescent="0.2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>
        <v>2</v>
      </c>
      <c r="O4" s="4">
        <v>400</v>
      </c>
      <c r="P4" s="5" t="s">
        <v>42</v>
      </c>
    </row>
    <row r="5" spans="1:18" ht="14.25" x14ac:dyDescent="0.2">
      <c r="A5" s="2"/>
      <c r="B5" s="2"/>
      <c r="C5" s="2"/>
      <c r="D5" s="2"/>
      <c r="E5" s="2"/>
      <c r="F5" s="2"/>
      <c r="G5" s="2"/>
      <c r="H5" s="2"/>
      <c r="I5" s="2"/>
      <c r="J5" s="4">
        <v>3</v>
      </c>
      <c r="K5" s="4"/>
      <c r="L5" s="4"/>
      <c r="M5" s="4"/>
      <c r="N5" s="4">
        <v>3</v>
      </c>
      <c r="O5" s="4">
        <v>800</v>
      </c>
      <c r="P5" s="5" t="s">
        <v>44</v>
      </c>
    </row>
    <row r="6" spans="1:18" s="2" customFormat="1" ht="14.25" x14ac:dyDescent="0.2">
      <c r="J6" s="4"/>
      <c r="K6" s="4"/>
      <c r="L6" s="4"/>
      <c r="M6" s="4"/>
      <c r="N6" s="4">
        <v>4</v>
      </c>
      <c r="O6" s="4">
        <v>2400</v>
      </c>
      <c r="P6" s="5" t="s">
        <v>45</v>
      </c>
    </row>
    <row r="7" spans="1:18" s="4" customFormat="1" ht="14.25" hidden="1" x14ac:dyDescent="0.2">
      <c r="C7" s="6" t="s">
        <v>0</v>
      </c>
      <c r="D7" s="6">
        <f>[1]Inicial!B19</f>
        <v>25.003999999999998</v>
      </c>
      <c r="E7" s="6"/>
      <c r="F7" s="6" t="s">
        <v>1</v>
      </c>
      <c r="H7" s="7">
        <f>[1]Inicial!B18</f>
        <v>6</v>
      </c>
      <c r="J7" s="8" t="s">
        <v>50</v>
      </c>
      <c r="K7" s="6">
        <f>[1]Inicial!B23</f>
        <v>190925.78077935355</v>
      </c>
      <c r="N7" s="4">
        <v>5</v>
      </c>
      <c r="O7" s="4">
        <v>6000</v>
      </c>
      <c r="P7" s="5" t="s">
        <v>46</v>
      </c>
      <c r="Q7" s="2"/>
      <c r="R7" s="2"/>
    </row>
    <row r="8" spans="1:18" s="4" customFormat="1" hidden="1" x14ac:dyDescent="0.2">
      <c r="C8" s="6" t="s">
        <v>3</v>
      </c>
      <c r="D8" s="6">
        <f>[1]Inicial!B20</f>
        <v>56.75</v>
      </c>
      <c r="E8" s="6"/>
      <c r="F8" s="6" t="s">
        <v>47</v>
      </c>
      <c r="H8" s="7">
        <f>[1]Inicial!B17</f>
        <v>212.45625000000001</v>
      </c>
      <c r="J8" s="6"/>
      <c r="K8" s="6"/>
      <c r="O8" s="2"/>
      <c r="P8" s="2"/>
      <c r="Q8" s="2"/>
      <c r="R8" s="2"/>
    </row>
    <row r="9" spans="1:18" s="4" customFormat="1" ht="15" x14ac:dyDescent="0.2">
      <c r="A9" s="2"/>
      <c r="B9" s="2"/>
      <c r="C9" s="9" t="s">
        <v>9</v>
      </c>
      <c r="D9" s="149"/>
      <c r="E9" s="151">
        <f>SUM(F18+F29+F41)</f>
        <v>184.58777869455585</v>
      </c>
      <c r="F9" s="149"/>
      <c r="H9" s="153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8" customHeight="1" thickBot="1" x14ac:dyDescent="0.25">
      <c r="A10" s="2"/>
      <c r="B10" s="2"/>
      <c r="C10" s="2"/>
      <c r="D10" s="10" t="s">
        <v>10</v>
      </c>
      <c r="E10" s="11" t="s">
        <v>6</v>
      </c>
      <c r="F10" s="11" t="s">
        <v>48</v>
      </c>
      <c r="G10" s="12" t="s">
        <v>49</v>
      </c>
      <c r="H10" s="2"/>
      <c r="I10" s="2"/>
      <c r="P10" s="13"/>
    </row>
    <row r="11" spans="1:18" ht="18" customHeight="1" thickBot="1" x14ac:dyDescent="0.25">
      <c r="A11" s="2"/>
      <c r="B11" s="2"/>
      <c r="C11" s="2"/>
      <c r="D11" s="14" t="s">
        <v>11</v>
      </c>
      <c r="E11" s="15">
        <f>[1]PLANCUSr_CJ!H99</f>
        <v>6379.6635926833342</v>
      </c>
      <c r="F11" s="16">
        <f t="shared" ref="F11:F17" si="0">E11/$H$8*$H$7/$D$7+E11/$H$8/$D$8/$D$7*$K$3</f>
        <v>24.135049860431256</v>
      </c>
      <c r="G11" s="17">
        <f>F11/$E$9</f>
        <v>0.13075107155587157</v>
      </c>
      <c r="H11" s="2"/>
      <c r="I11" s="2"/>
    </row>
    <row r="12" spans="1:18" ht="18" customHeight="1" thickBot="1" x14ac:dyDescent="0.25">
      <c r="A12" s="2"/>
      <c r="B12" s="2"/>
      <c r="C12" s="2"/>
      <c r="D12" s="18" t="s">
        <v>12</v>
      </c>
      <c r="E12" s="19">
        <f>[1]PLANCUSr_CJ!H100</f>
        <v>9767.1065516146391</v>
      </c>
      <c r="F12" s="20">
        <f t="shared" si="0"/>
        <v>36.95016205646268</v>
      </c>
      <c r="G12" s="17">
        <f t="shared" ref="G12:G17" si="1">F12/$E$9</f>
        <v>0.2001766439673423</v>
      </c>
      <c r="H12" s="2"/>
      <c r="I12" s="2"/>
    </row>
    <row r="13" spans="1:18" ht="18" customHeight="1" thickBot="1" x14ac:dyDescent="0.25">
      <c r="A13" s="2"/>
      <c r="B13" s="2"/>
      <c r="C13" s="2"/>
      <c r="D13" s="14" t="s">
        <v>13</v>
      </c>
      <c r="E13" s="21">
        <f>[1]PLANCUSr_CJ!H101</f>
        <v>4535.5318613391764</v>
      </c>
      <c r="F13" s="22">
        <f t="shared" si="0"/>
        <v>17.158473331186052</v>
      </c>
      <c r="G13" s="17">
        <f t="shared" si="1"/>
        <v>9.295563039186254E-2</v>
      </c>
      <c r="H13" s="2"/>
      <c r="I13" s="2"/>
    </row>
    <row r="14" spans="1:18" ht="18" customHeight="1" thickBot="1" x14ac:dyDescent="0.25">
      <c r="A14" s="2"/>
      <c r="B14" s="2"/>
      <c r="C14" s="2"/>
      <c r="D14" s="14" t="s">
        <v>14</v>
      </c>
      <c r="E14" s="21">
        <f>[1]PLANCUSr_CJ!H102</f>
        <v>801.26757131965223</v>
      </c>
      <c r="F14" s="22">
        <f t="shared" si="0"/>
        <v>3.0312935007302619</v>
      </c>
      <c r="G14" s="17">
        <f t="shared" si="1"/>
        <v>1.642196207229003E-2</v>
      </c>
      <c r="H14" s="2"/>
      <c r="I14" s="2"/>
    </row>
    <row r="15" spans="1:18" ht="18" customHeight="1" thickBot="1" x14ac:dyDescent="0.25">
      <c r="A15" s="2"/>
      <c r="B15" s="2"/>
      <c r="C15" s="2"/>
      <c r="D15" s="14" t="s">
        <v>15</v>
      </c>
      <c r="E15" s="21">
        <f>[1]PLANCUSr_CJ!H103</f>
        <v>633.29583333317862</v>
      </c>
      <c r="F15" s="22">
        <f t="shared" si="0"/>
        <v>2.3958358135731728</v>
      </c>
      <c r="G15" s="17">
        <f t="shared" si="1"/>
        <v>1.2979384824483152E-2</v>
      </c>
      <c r="H15" s="2"/>
      <c r="I15" s="2"/>
    </row>
    <row r="16" spans="1:18" ht="18" customHeight="1" thickBot="1" x14ac:dyDescent="0.25">
      <c r="A16" s="2"/>
      <c r="B16" s="2"/>
      <c r="C16" s="2"/>
      <c r="D16" s="14" t="s">
        <v>16</v>
      </c>
      <c r="E16" s="21">
        <f>[1]PLANCUSr_CJ!H104</f>
        <v>4417.8910669929564</v>
      </c>
      <c r="F16" s="22">
        <f t="shared" si="0"/>
        <v>16.713423777096239</v>
      </c>
      <c r="G16" s="17">
        <f t="shared" si="1"/>
        <v>9.0544584778565168E-2</v>
      </c>
      <c r="H16" s="2"/>
      <c r="I16" s="2"/>
    </row>
    <row r="17" spans="1:9" ht="18" customHeight="1" thickBot="1" x14ac:dyDescent="0.25">
      <c r="A17" s="2"/>
      <c r="B17" s="2"/>
      <c r="C17" s="2"/>
      <c r="D17" s="23" t="s">
        <v>17</v>
      </c>
      <c r="E17" s="24">
        <f>[1]PLANCUSr_CJ!H105</f>
        <v>-493.65394752094164</v>
      </c>
      <c r="F17" s="25">
        <f t="shared" si="0"/>
        <v>-1.8675534319522591</v>
      </c>
      <c r="G17" s="26">
        <f t="shared" si="1"/>
        <v>-1.0117427302934114E-2</v>
      </c>
      <c r="H17" s="2"/>
      <c r="I17" s="2"/>
    </row>
    <row r="18" spans="1:9" ht="18" customHeight="1" x14ac:dyDescent="0.2">
      <c r="A18" s="2"/>
      <c r="B18" s="2"/>
      <c r="C18" s="2"/>
      <c r="D18" s="27" t="s">
        <v>51</v>
      </c>
      <c r="F18" s="28">
        <f>SUM(F11:F17)</f>
        <v>98.516684907527406</v>
      </c>
      <c r="G18" s="29">
        <f>SUM(G11:G17)</f>
        <v>0.53371185028748069</v>
      </c>
      <c r="H18" s="2"/>
      <c r="I18" s="2"/>
    </row>
    <row r="19" spans="1:9" ht="15.75" thickBot="1" x14ac:dyDescent="0.25">
      <c r="A19" s="2"/>
      <c r="B19" s="2"/>
      <c r="C19" s="150"/>
      <c r="D19" s="9"/>
      <c r="E19" s="30"/>
      <c r="H19" s="2"/>
      <c r="I19" s="2"/>
    </row>
    <row r="20" spans="1:9" ht="13.5" hidden="1" thickBot="1" x14ac:dyDescent="0.25">
      <c r="A20" s="2"/>
      <c r="B20" s="2"/>
      <c r="C20" s="2"/>
      <c r="H20" s="2"/>
      <c r="I20" s="2"/>
    </row>
    <row r="21" spans="1:9" ht="15.75" thickBot="1" x14ac:dyDescent="0.25">
      <c r="A21" s="2"/>
      <c r="B21" s="2"/>
      <c r="C21" s="2"/>
      <c r="D21" s="31" t="s">
        <v>18</v>
      </c>
      <c r="E21" s="32" t="s">
        <v>6</v>
      </c>
      <c r="F21" s="32" t="s">
        <v>48</v>
      </c>
      <c r="G21" s="33" t="s">
        <v>49</v>
      </c>
      <c r="H21" s="2"/>
      <c r="I21" s="2"/>
    </row>
    <row r="22" spans="1:9" ht="15.75" thickBot="1" x14ac:dyDescent="0.25">
      <c r="A22" s="2"/>
      <c r="B22" s="2"/>
      <c r="C22" s="2"/>
      <c r="D22" s="14" t="s">
        <v>19</v>
      </c>
      <c r="E22" s="34">
        <f>[1]PLANCUSr_CJ!H109</f>
        <v>0.32714919514459273</v>
      </c>
      <c r="F22" s="35">
        <f t="shared" ref="F22:F28" si="2">E22/$D$7*$K$3</f>
        <v>10.467099508705575</v>
      </c>
      <c r="G22" s="36">
        <f t="shared" ref="G22:G28" si="3">F22/$E$9</f>
        <v>5.6705268261697146E-2</v>
      </c>
      <c r="H22" s="2"/>
      <c r="I22" s="2"/>
    </row>
    <row r="23" spans="1:9" ht="15.75" thickBot="1" x14ac:dyDescent="0.25">
      <c r="A23" s="2"/>
      <c r="B23" s="2"/>
      <c r="C23" s="2"/>
      <c r="D23" s="14" t="s">
        <v>20</v>
      </c>
      <c r="E23" s="34">
        <f>[1]PLANCUSr_CJ!H110</f>
        <v>1.5199943119141957</v>
      </c>
      <c r="F23" s="37">
        <f t="shared" si="2"/>
        <v>48.632036855357406</v>
      </c>
      <c r="G23" s="36">
        <f t="shared" si="3"/>
        <v>0.26346292912398395</v>
      </c>
      <c r="H23" s="2"/>
      <c r="I23" s="2"/>
    </row>
    <row r="24" spans="1:9" ht="15.75" thickBot="1" x14ac:dyDescent="0.25">
      <c r="A24" s="2"/>
      <c r="B24" s="2"/>
      <c r="C24" s="2"/>
      <c r="D24" s="38" t="s">
        <v>35</v>
      </c>
      <c r="E24" s="34">
        <f>[1]PLANCUSr_CJ!H111</f>
        <v>5.2279289809944784E-2</v>
      </c>
      <c r="F24" s="37">
        <f t="shared" si="2"/>
        <v>1.6726696467747493</v>
      </c>
      <c r="G24" s="36">
        <f t="shared" si="3"/>
        <v>9.0616489271620575E-3</v>
      </c>
      <c r="H24" s="2"/>
      <c r="I24" s="39"/>
    </row>
    <row r="25" spans="1:9" ht="15.75" thickBot="1" x14ac:dyDescent="0.25">
      <c r="A25" s="2"/>
      <c r="B25" s="2"/>
      <c r="C25" s="2"/>
      <c r="D25" s="14" t="s">
        <v>21</v>
      </c>
      <c r="E25" s="34">
        <f>[1]PLANCUSr_CJ!H112</f>
        <v>3.9730176207372181E-2</v>
      </c>
      <c r="F25" s="37">
        <f t="shared" si="2"/>
        <v>1.2711622526754818</v>
      </c>
      <c r="G25" s="36">
        <f t="shared" si="3"/>
        <v>6.8864919533969818E-3</v>
      </c>
      <c r="H25" s="2"/>
      <c r="I25" s="2"/>
    </row>
    <row r="26" spans="1:9" ht="15.75" thickBot="1" x14ac:dyDescent="0.25">
      <c r="A26" s="2"/>
      <c r="B26" s="2"/>
      <c r="C26" s="2"/>
      <c r="D26" s="14" t="s">
        <v>22</v>
      </c>
      <c r="E26" s="34">
        <f>[1]PLANCUSr_CJ!H113</f>
        <v>9.9739655612936476E-2</v>
      </c>
      <c r="F26" s="37">
        <f t="shared" si="2"/>
        <v>3.1911583942708841</v>
      </c>
      <c r="G26" s="36">
        <f t="shared" si="3"/>
        <v>1.7288026416696908E-2</v>
      </c>
      <c r="H26" s="2"/>
      <c r="I26" s="2"/>
    </row>
    <row r="27" spans="1:9" ht="15.75" thickBot="1" x14ac:dyDescent="0.25">
      <c r="A27" s="2"/>
      <c r="B27" s="2"/>
      <c r="C27" s="2"/>
      <c r="D27" s="14" t="s">
        <v>23</v>
      </c>
      <c r="E27" s="34">
        <f>[1]PLANCUSr_CJ!H114</f>
        <v>0.23793710649020774</v>
      </c>
      <c r="F27" s="37">
        <f t="shared" si="2"/>
        <v>7.6127693645883152</v>
      </c>
      <c r="G27" s="36">
        <f t="shared" si="3"/>
        <v>4.124200106002382E-2</v>
      </c>
      <c r="H27" s="2"/>
      <c r="I27" s="2"/>
    </row>
    <row r="28" spans="1:9" ht="15.75" thickBot="1" x14ac:dyDescent="0.25">
      <c r="A28" s="2"/>
      <c r="B28" s="2"/>
      <c r="C28" s="2"/>
      <c r="D28" s="23" t="s">
        <v>17</v>
      </c>
      <c r="E28" s="40">
        <f>[1]PLANCUSr_CJ!H115</f>
        <v>-0.21060675050408059</v>
      </c>
      <c r="F28" s="41">
        <f t="shared" si="2"/>
        <v>-6.7383378820694482</v>
      </c>
      <c r="G28" s="42">
        <f t="shared" si="3"/>
        <v>-3.6504788831223885E-2</v>
      </c>
      <c r="H28" s="2"/>
      <c r="I28" s="2"/>
    </row>
    <row r="29" spans="1:9" ht="15" x14ac:dyDescent="0.2">
      <c r="A29" s="2"/>
      <c r="B29" s="2"/>
      <c r="C29" s="150"/>
      <c r="D29" s="27" t="s">
        <v>51</v>
      </c>
      <c r="F29" s="28">
        <f>SUM(F22:F28)</f>
        <v>66.108558140302961</v>
      </c>
      <c r="G29" s="39">
        <f>SUM(G22:G28)</f>
        <v>0.35814157691173698</v>
      </c>
      <c r="H29" s="2"/>
      <c r="I29" s="2"/>
    </row>
    <row r="30" spans="1:9" x14ac:dyDescent="0.2">
      <c r="A30" s="2"/>
      <c r="B30" s="2"/>
      <c r="C30" s="2"/>
    </row>
    <row r="31" spans="1:9" ht="15.75" thickBot="1" x14ac:dyDescent="0.25">
      <c r="A31" s="2"/>
      <c r="B31" s="2"/>
      <c r="C31" s="2"/>
      <c r="D31" s="43" t="s">
        <v>24</v>
      </c>
      <c r="E31" s="44" t="s">
        <v>6</v>
      </c>
      <c r="F31" s="11" t="s">
        <v>48</v>
      </c>
      <c r="G31" s="12" t="s">
        <v>49</v>
      </c>
      <c r="H31" s="2"/>
      <c r="I31" s="2"/>
    </row>
    <row r="32" spans="1:9" ht="15.75" thickBot="1" x14ac:dyDescent="0.25">
      <c r="A32" s="2"/>
      <c r="B32" s="2"/>
      <c r="C32" s="2"/>
      <c r="D32" s="45" t="s">
        <v>25</v>
      </c>
      <c r="E32" s="46">
        <f>[1]DAT!I9</f>
        <v>1395551.1365873138</v>
      </c>
      <c r="F32" s="37">
        <f t="shared" ref="F32:F40" si="4">E32/$K$7</f>
        <v>7.3093907532587492</v>
      </c>
      <c r="G32" s="47">
        <f t="shared" ref="G32:G40" si="5">F32/$E$9</f>
        <v>3.9598454485732043E-2</v>
      </c>
      <c r="H32" s="2"/>
      <c r="I32" s="2"/>
    </row>
    <row r="33" spans="1:13" ht="15.75" thickBot="1" x14ac:dyDescent="0.25">
      <c r="A33" s="2"/>
      <c r="B33" s="2"/>
      <c r="C33" s="2"/>
      <c r="D33" s="48" t="s">
        <v>26</v>
      </c>
      <c r="E33" s="49">
        <f>[1]DAT!I16</f>
        <v>361922.0086967884</v>
      </c>
      <c r="F33" s="37">
        <f t="shared" si="4"/>
        <v>1.8956162296125394</v>
      </c>
      <c r="G33" s="47">
        <f t="shared" si="5"/>
        <v>1.0269456856888045E-2</v>
      </c>
      <c r="H33" s="2"/>
      <c r="I33" s="2"/>
    </row>
    <row r="34" spans="1:13" ht="15.75" thickBot="1" x14ac:dyDescent="0.25">
      <c r="A34" s="2"/>
      <c r="B34" s="2"/>
      <c r="C34" s="2"/>
      <c r="D34" s="48" t="s">
        <v>27</v>
      </c>
      <c r="E34" s="49">
        <f>[1]DAT!I21</f>
        <v>235603.64535214315</v>
      </c>
      <c r="F34" s="37">
        <f t="shared" si="4"/>
        <v>1.2340064520905236</v>
      </c>
      <c r="G34" s="47">
        <f t="shared" si="5"/>
        <v>6.6852012674819558E-3</v>
      </c>
      <c r="H34" s="2"/>
      <c r="I34" s="2"/>
    </row>
    <row r="35" spans="1:13" ht="15.75" thickBot="1" x14ac:dyDescent="0.25">
      <c r="A35" s="2"/>
      <c r="B35" s="2"/>
      <c r="C35" s="2"/>
      <c r="D35" s="48" t="s">
        <v>28</v>
      </c>
      <c r="E35" s="49">
        <f>[1]DAT!I28</f>
        <v>565751.25511878042</v>
      </c>
      <c r="F35" s="37">
        <f t="shared" si="4"/>
        <v>2.9631999031738934</v>
      </c>
      <c r="G35" s="47">
        <f t="shared" si="5"/>
        <v>1.6053066590487601E-2</v>
      </c>
      <c r="H35" s="2"/>
      <c r="I35" s="4"/>
      <c r="J35" s="4"/>
      <c r="K35" s="50">
        <f>SUM(E11:E17,E22:E28,E32:E40)</f>
        <v>3837405.8734394894</v>
      </c>
      <c r="L35" s="50">
        <f>SUM(E11:E17)</f>
        <v>26041.102529761993</v>
      </c>
      <c r="M35" s="51">
        <f>L35/$K$35</f>
        <v>6.7861215072413487E-3</v>
      </c>
    </row>
    <row r="36" spans="1:13" ht="15.75" thickBot="1" x14ac:dyDescent="0.25">
      <c r="A36" s="2"/>
      <c r="B36" s="2"/>
      <c r="C36" s="2"/>
      <c r="D36" s="48" t="s">
        <v>29</v>
      </c>
      <c r="E36" s="49">
        <f>[1]DAT!I35</f>
        <v>21887.55509238557</v>
      </c>
      <c r="F36" s="37">
        <f t="shared" si="4"/>
        <v>0.1146390759961342</v>
      </c>
      <c r="G36" s="47">
        <f t="shared" si="5"/>
        <v>6.2105452921578123E-4</v>
      </c>
      <c r="H36" s="2"/>
      <c r="I36" s="152"/>
      <c r="J36" s="4"/>
      <c r="K36" s="4"/>
      <c r="L36" s="50">
        <f>SUM(E22:E28)</f>
        <v>2.0662229846751692</v>
      </c>
      <c r="M36" s="51">
        <f>L36/$K$35</f>
        <v>5.3844264923251427E-7</v>
      </c>
    </row>
    <row r="37" spans="1:13" ht="15.75" thickBot="1" x14ac:dyDescent="0.25">
      <c r="A37" s="2"/>
      <c r="B37" s="2"/>
      <c r="C37" s="2"/>
      <c r="D37" s="48" t="s">
        <v>30</v>
      </c>
      <c r="E37" s="49">
        <f>[1]DAT!I39</f>
        <v>409773.26288748905</v>
      </c>
      <c r="F37" s="37">
        <f t="shared" si="4"/>
        <v>2.1462437456838273</v>
      </c>
      <c r="G37" s="47">
        <f t="shared" si="5"/>
        <v>1.1627225598912999E-2</v>
      </c>
      <c r="H37" s="2"/>
      <c r="I37" s="4"/>
      <c r="J37" s="4"/>
      <c r="K37" s="4"/>
      <c r="L37" s="50">
        <f>SUM(E32:E40)</f>
        <v>3811362.7046867427</v>
      </c>
      <c r="M37" s="51">
        <f>L37/$K$35</f>
        <v>0.99321334005010942</v>
      </c>
    </row>
    <row r="38" spans="1:13" ht="15.75" thickBot="1" x14ac:dyDescent="0.25">
      <c r="A38" s="2"/>
      <c r="B38" s="2"/>
      <c r="C38" s="2"/>
      <c r="D38" s="48" t="s">
        <v>31</v>
      </c>
      <c r="E38" s="49">
        <f>[1]DAT!I48</f>
        <v>492241.34616260917</v>
      </c>
      <c r="F38" s="37">
        <f t="shared" si="4"/>
        <v>2.5781816586177841</v>
      </c>
      <c r="G38" s="47">
        <f t="shared" si="5"/>
        <v>1.3967239201052393E-2</v>
      </c>
      <c r="H38" s="2"/>
      <c r="I38" s="4"/>
      <c r="J38" s="4"/>
      <c r="K38" s="4"/>
      <c r="L38" s="4"/>
      <c r="M38" s="52">
        <f>SUM(M35:M37)</f>
        <v>1</v>
      </c>
    </row>
    <row r="39" spans="1:13" ht="15.75" thickBot="1" x14ac:dyDescent="0.25">
      <c r="A39" s="2"/>
      <c r="B39" s="2"/>
      <c r="C39" s="2"/>
      <c r="D39" s="48" t="s">
        <v>32</v>
      </c>
      <c r="E39" s="49">
        <f>[1]DAT!I53</f>
        <v>530873.75582070288</v>
      </c>
      <c r="F39" s="37">
        <f t="shared" si="4"/>
        <v>2.7805242102648027</v>
      </c>
      <c r="G39" s="47">
        <f t="shared" si="5"/>
        <v>1.5063425270780455E-2</v>
      </c>
      <c r="H39" s="2"/>
      <c r="I39" s="4"/>
      <c r="J39" s="4"/>
      <c r="K39" s="4"/>
      <c r="L39" s="4"/>
      <c r="M39" s="4"/>
    </row>
    <row r="40" spans="1:13" ht="15.75" thickBot="1" x14ac:dyDescent="0.25">
      <c r="A40" s="2"/>
      <c r="B40" s="2"/>
      <c r="C40" s="2"/>
      <c r="D40" s="53" t="s">
        <v>17</v>
      </c>
      <c r="E40" s="54">
        <f>[1]DAT!I67</f>
        <v>-202241.26103146974</v>
      </c>
      <c r="F40" s="41">
        <f t="shared" si="4"/>
        <v>-1.0592663819727579</v>
      </c>
      <c r="G40" s="42">
        <f t="shared" si="5"/>
        <v>-5.7385509997688669E-3</v>
      </c>
      <c r="H40" s="2"/>
      <c r="I40" s="4"/>
      <c r="J40" s="4"/>
      <c r="K40" s="4"/>
      <c r="L40" s="4"/>
      <c r="M40" s="4"/>
    </row>
    <row r="41" spans="1:13" x14ac:dyDescent="0.2">
      <c r="A41" s="2"/>
      <c r="B41" s="2"/>
      <c r="C41" s="2"/>
      <c r="D41" s="27" t="s">
        <v>51</v>
      </c>
      <c r="F41" s="28">
        <f>SUM(F32:F40)</f>
        <v>19.962535646725495</v>
      </c>
      <c r="G41" s="39">
        <f>SUM(G32:G40)</f>
        <v>0.10814657280078241</v>
      </c>
      <c r="H41" s="2"/>
      <c r="I41" s="2"/>
    </row>
    <row r="42" spans="1:13" x14ac:dyDescent="0.2">
      <c r="A42" s="2"/>
      <c r="B42" s="2"/>
      <c r="C42" s="2"/>
      <c r="H42" s="2"/>
      <c r="I42" s="2"/>
    </row>
    <row r="43" spans="1:13" x14ac:dyDescent="0.2">
      <c r="A43" s="2"/>
      <c r="B43" s="2"/>
      <c r="C43" s="2"/>
      <c r="H43" s="2"/>
      <c r="I43" s="2"/>
    </row>
    <row r="44" spans="1:13" x14ac:dyDescent="0.2">
      <c r="A44" s="2"/>
      <c r="B44" s="2"/>
      <c r="C44" s="2"/>
      <c r="H44" s="2"/>
      <c r="I44" s="2"/>
    </row>
    <row r="45" spans="1:13" x14ac:dyDescent="0.2">
      <c r="A45" s="2"/>
      <c r="B45" s="2"/>
      <c r="C45" s="2"/>
      <c r="H45" s="2"/>
      <c r="I45" s="2"/>
    </row>
    <row r="46" spans="1:13" x14ac:dyDescent="0.2">
      <c r="A46" s="2"/>
      <c r="B46" s="2"/>
      <c r="C46" s="2"/>
      <c r="H46" s="2"/>
      <c r="I46" s="2"/>
    </row>
    <row r="47" spans="1:13" x14ac:dyDescent="0.2">
      <c r="A47" s="2"/>
      <c r="B47" s="2"/>
      <c r="C47" s="2"/>
      <c r="H47" s="2"/>
      <c r="I47" s="2"/>
    </row>
    <row r="48" spans="1:13" x14ac:dyDescent="0.2">
      <c r="A48" s="2"/>
      <c r="B48" s="2"/>
      <c r="C48" s="2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  <row r="54" spans="1:3" x14ac:dyDescent="0.2">
      <c r="A54" s="2"/>
      <c r="B54" s="2"/>
      <c r="C54" s="2"/>
    </row>
  </sheetData>
  <sheetProtection algorithmName="SHA-512" hashValue="J72SsBOwT/RzNw4jOtxWjabw1suy1Doa1ZrUKmSe2cZCZnof5LgN/rWT8NCa8XwxizxPTKGEvkDSopI2cJeD1w==" saltValue="/6N559uaVtUMJ+PtMHo8Ug==" spinCount="100000" sheet="1" objects="1" scenarios="1" selectLockedCells="1" selectUnlockedCells="1"/>
  <dataConsolidate/>
  <mergeCells count="1">
    <mergeCell ref="D1:K1"/>
  </mergeCells>
  <printOptions horizontalCentered="1"/>
  <pageMargins left="0" right="0.78740157480314965" top="1.7716535433070868" bottom="0" header="0.31496062992125984" footer="0.31496062992125984"/>
  <pageSetup paperSize="9" scale="82" orientation="portrait" r:id="rId1"/>
  <headerFooter>
    <oddHeader>&amp;R&amp;G</oddHeader>
  </headerFooter>
  <ignoredErrors>
    <ignoredError sqref="F11:G40 K35:M39 F41:G41 K3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Group Box 6">
              <controlPr defaultSize="0" autoFill="0" autoPict="0">
                <anchor moveWithCells="1" sizeWithCells="1">
                  <from>
                    <xdr:col>6</xdr:col>
                    <xdr:colOff>28575</xdr:colOff>
                    <xdr:row>2</xdr:row>
                    <xdr:rowOff>95250</xdr:rowOff>
                  </from>
                  <to>
                    <xdr:col>8</xdr:col>
                    <xdr:colOff>180975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Drop Down 7">
              <controlPr defaultSize="0" autoLine="0" autoPict="0">
                <anchor moveWithCells="1" sizeWithCells="1">
                  <from>
                    <xdr:col>6</xdr:col>
                    <xdr:colOff>390525</xdr:colOff>
                    <xdr:row>3</xdr:row>
                    <xdr:rowOff>95250</xdr:rowOff>
                  </from>
                  <to>
                    <xdr:col>7</xdr:col>
                    <xdr:colOff>542925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48"/>
  <sheetViews>
    <sheetView showGridLines="0" zoomScaleNormal="100" workbookViewId="0">
      <selection activeCell="B10" sqref="B10"/>
    </sheetView>
  </sheetViews>
  <sheetFormatPr defaultColWidth="30.5703125" defaultRowHeight="12.75" x14ac:dyDescent="0.2"/>
  <cols>
    <col min="1" max="1" width="27.7109375" style="75" bestFit="1" customWidth="1"/>
    <col min="2" max="2" width="11.7109375" style="75" bestFit="1" customWidth="1"/>
    <col min="3" max="3" width="10.140625" style="75" customWidth="1"/>
    <col min="4" max="12" width="9" style="75" customWidth="1"/>
    <col min="13" max="13" width="13" style="75" customWidth="1"/>
    <col min="14" max="14" width="14.42578125" style="75" customWidth="1"/>
    <col min="15" max="15" width="18.140625" style="75" customWidth="1"/>
    <col min="16" max="24" width="30.5703125" style="75" customWidth="1"/>
    <col min="25" max="16384" width="30.5703125" style="75"/>
  </cols>
  <sheetData>
    <row r="1" spans="1:12" s="55" customFormat="1" ht="75" customHeight="1" thickBot="1" x14ac:dyDescent="0.25">
      <c r="B1" s="56"/>
      <c r="C1" s="167" t="s">
        <v>41</v>
      </c>
      <c r="D1" s="167"/>
      <c r="E1" s="167"/>
      <c r="F1" s="167"/>
      <c r="G1" s="167"/>
      <c r="H1" s="167"/>
      <c r="I1" s="167"/>
      <c r="J1" s="167"/>
      <c r="K1" s="167"/>
      <c r="L1" s="167"/>
    </row>
    <row r="2" spans="1:12" s="63" customFormat="1" ht="15" x14ac:dyDescent="0.2">
      <c r="A2" s="57" t="s">
        <v>0</v>
      </c>
      <c r="B2" s="58"/>
      <c r="C2" s="59">
        <f>[1]Inicial!B19</f>
        <v>25.003999999999998</v>
      </c>
      <c r="D2" s="58"/>
      <c r="E2" s="58"/>
      <c r="F2" s="58"/>
      <c r="G2" s="60" t="s">
        <v>1</v>
      </c>
      <c r="H2" s="61">
        <f>[1]Inicial!B18</f>
        <v>6</v>
      </c>
      <c r="I2" s="60"/>
      <c r="J2" s="61"/>
      <c r="K2" s="61" t="s">
        <v>2</v>
      </c>
      <c r="L2" s="62">
        <f>[1]Inicial!B23</f>
        <v>190925.78077935355</v>
      </c>
    </row>
    <row r="3" spans="1:12" s="63" customFormat="1" ht="15.75" thickBot="1" x14ac:dyDescent="0.25">
      <c r="A3" s="64" t="s">
        <v>3</v>
      </c>
      <c r="B3" s="65"/>
      <c r="C3" s="66">
        <f>[1]Inicial!B20</f>
        <v>56.75</v>
      </c>
      <c r="D3" s="65"/>
      <c r="E3" s="65"/>
      <c r="F3" s="65"/>
      <c r="G3" s="67" t="s">
        <v>4</v>
      </c>
      <c r="H3" s="68">
        <f>[1]Inicial!B17</f>
        <v>212.45625000000001</v>
      </c>
      <c r="I3" s="67"/>
      <c r="J3" s="68"/>
      <c r="K3" s="67"/>
      <c r="L3" s="148" t="str">
        <f>[1]RESUMOr!B3</f>
        <v>SETEMBRO|20</v>
      </c>
    </row>
    <row r="4" spans="1:12" ht="15.75" thickBot="1" x14ac:dyDescent="0.25">
      <c r="A4" s="69" t="s">
        <v>5</v>
      </c>
      <c r="B4" s="70"/>
      <c r="C4" s="71">
        <v>50</v>
      </c>
      <c r="D4" s="72"/>
      <c r="E4" s="71">
        <v>400</v>
      </c>
      <c r="F4" s="72"/>
      <c r="G4" s="71">
        <v>800</v>
      </c>
      <c r="H4" s="73"/>
      <c r="I4" s="71">
        <v>2400</v>
      </c>
      <c r="J4" s="73"/>
      <c r="K4" s="71">
        <v>6000</v>
      </c>
      <c r="L4" s="74"/>
    </row>
    <row r="5" spans="1:12" s="80" customFormat="1" ht="15.75" thickBot="1" x14ac:dyDescent="0.25">
      <c r="A5" s="76"/>
      <c r="B5" s="77" t="s">
        <v>6</v>
      </c>
      <c r="C5" s="77" t="s">
        <v>7</v>
      </c>
      <c r="D5" s="78" t="s">
        <v>8</v>
      </c>
      <c r="E5" s="77" t="s">
        <v>7</v>
      </c>
      <c r="F5" s="78" t="s">
        <v>8</v>
      </c>
      <c r="G5" s="77" t="s">
        <v>7</v>
      </c>
      <c r="H5" s="78" t="s">
        <v>8</v>
      </c>
      <c r="I5" s="77" t="s">
        <v>7</v>
      </c>
      <c r="J5" s="78" t="s">
        <v>8</v>
      </c>
      <c r="K5" s="77" t="s">
        <v>7</v>
      </c>
      <c r="L5" s="79" t="s">
        <v>8</v>
      </c>
    </row>
    <row r="6" spans="1:12" ht="8.25" customHeight="1" thickBot="1" x14ac:dyDescent="0.25">
      <c r="A6" s="81"/>
      <c r="B6" s="81"/>
      <c r="C6" s="82"/>
      <c r="D6" s="83"/>
      <c r="E6" s="82"/>
      <c r="F6" s="83"/>
      <c r="G6" s="82"/>
      <c r="H6" s="83"/>
      <c r="I6" s="82"/>
      <c r="J6" s="83"/>
      <c r="K6" s="82"/>
      <c r="L6" s="82"/>
    </row>
    <row r="7" spans="1:12" ht="18.75" customHeight="1" thickBot="1" x14ac:dyDescent="0.25">
      <c r="A7" s="84" t="s">
        <v>9</v>
      </c>
      <c r="B7" s="85"/>
      <c r="C7" s="86">
        <f t="shared" ref="C7:L7" si="0">C9+C18+C27</f>
        <v>57.825811504970062</v>
      </c>
      <c r="D7" s="87">
        <f t="shared" si="0"/>
        <v>100</v>
      </c>
      <c r="E7" s="88">
        <f t="shared" si="0"/>
        <v>116.98139619344343</v>
      </c>
      <c r="F7" s="87">
        <f t="shared" si="0"/>
        <v>100</v>
      </c>
      <c r="G7" s="88">
        <f t="shared" si="0"/>
        <v>184.58777869455585</v>
      </c>
      <c r="H7" s="87">
        <f t="shared" si="0"/>
        <v>100</v>
      </c>
      <c r="I7" s="88">
        <f t="shared" si="0"/>
        <v>455.01330869900556</v>
      </c>
      <c r="J7" s="87">
        <f t="shared" si="0"/>
        <v>100</v>
      </c>
      <c r="K7" s="88">
        <f t="shared" si="0"/>
        <v>1063.4707512090172</v>
      </c>
      <c r="L7" s="89">
        <f t="shared" si="0"/>
        <v>100.00000000000003</v>
      </c>
    </row>
    <row r="8" spans="1:12" ht="8.25" customHeight="1" thickBot="1" x14ac:dyDescent="0.25">
      <c r="A8" s="81"/>
      <c r="B8" s="90"/>
      <c r="C8" s="91"/>
      <c r="D8" s="92"/>
      <c r="E8" s="91"/>
      <c r="F8" s="92"/>
      <c r="G8" s="91"/>
      <c r="H8" s="92"/>
      <c r="I8" s="91"/>
      <c r="J8" s="92"/>
      <c r="K8" s="91"/>
      <c r="L8" s="91"/>
    </row>
    <row r="9" spans="1:12" s="93" customFormat="1" ht="18.75" customHeight="1" thickBot="1" x14ac:dyDescent="0.25">
      <c r="A9" s="168" t="s">
        <v>10</v>
      </c>
      <c r="B9" s="169"/>
      <c r="C9" s="86">
        <f t="shared" ref="C9:L9" si="1">SUM(C10:C16)</f>
        <v>33.731490974475626</v>
      </c>
      <c r="D9" s="87">
        <f t="shared" si="1"/>
        <v>58.332931430761583</v>
      </c>
      <c r="E9" s="88">
        <f t="shared" si="1"/>
        <v>63.964581476566451</v>
      </c>
      <c r="F9" s="87">
        <f t="shared" si="1"/>
        <v>54.67927684056103</v>
      </c>
      <c r="G9" s="88">
        <f t="shared" si="1"/>
        <v>98.516684907527406</v>
      </c>
      <c r="H9" s="87">
        <f t="shared" si="1"/>
        <v>53.371185028748066</v>
      </c>
      <c r="I9" s="88">
        <f t="shared" si="1"/>
        <v>236.7250986313712</v>
      </c>
      <c r="J9" s="87">
        <f t="shared" si="1"/>
        <v>52.025972450833628</v>
      </c>
      <c r="K9" s="88">
        <f t="shared" si="1"/>
        <v>547.69402951001973</v>
      </c>
      <c r="L9" s="89">
        <f t="shared" si="1"/>
        <v>51.500619917131566</v>
      </c>
    </row>
    <row r="10" spans="1:12" ht="18.75" customHeight="1" x14ac:dyDescent="0.2">
      <c r="A10" s="94" t="s">
        <v>11</v>
      </c>
      <c r="B10" s="95">
        <f>[1]PLANCUSr_CJ!H99</f>
        <v>6379.6635926833342</v>
      </c>
      <c r="C10" s="96">
        <f t="shared" ref="C10:C16" si="2">$B10/$H$3*$H$2/$C$2+$B10/$H$3/$C$3/$C$2*C$4</f>
        <v>8.2636887071445901</v>
      </c>
      <c r="D10" s="97">
        <f t="shared" ref="D10:D16" si="3">C10/C$7*100</f>
        <v>14.29065756636089</v>
      </c>
      <c r="E10" s="98">
        <f t="shared" ref="E10:E16" si="4">$B10/$H$3*$H$2/$C$2+$B10/$H$3/$C$3/$C$2*E$4</f>
        <v>15.6703239120117</v>
      </c>
      <c r="F10" s="97">
        <f t="shared" ref="F10:F16" si="5">E10/E$7*100</f>
        <v>13.395569228887345</v>
      </c>
      <c r="G10" s="98">
        <f t="shared" ref="G10:G16" si="6">$B10/$H$3*$H$2/$C$2+$B10/$H$3/$C$3/$C$2*G$4</f>
        <v>24.135049860431256</v>
      </c>
      <c r="H10" s="97">
        <f t="shared" ref="H10:H16" si="7">G10/G$7*100</f>
        <v>13.075107155587157</v>
      </c>
      <c r="I10" s="98">
        <f t="shared" ref="I10:I16" si="8">$B10/$H$3*$H$2/$C$2+$B10/$H$3/$C$3/$C$2*I$4</f>
        <v>57.993953654109475</v>
      </c>
      <c r="J10" s="97">
        <f t="shared" ref="J10:J16" si="9">I10/I$7*100</f>
        <v>12.745551074083611</v>
      </c>
      <c r="K10" s="98">
        <f t="shared" ref="K10:K16" si="10">$B10/$H$3*$H$2/$C$2+$B10/$H$3/$C$3/$C$2*K$4</f>
        <v>134.17648718988548</v>
      </c>
      <c r="L10" s="99">
        <f t="shared" ref="L10:L16" si="11">K10/K$7*100</f>
        <v>12.616847904594049</v>
      </c>
    </row>
    <row r="11" spans="1:12" ht="18.75" customHeight="1" x14ac:dyDescent="0.2">
      <c r="A11" s="100" t="s">
        <v>12</v>
      </c>
      <c r="B11" s="101">
        <f>[1]PLANCUSr_CJ!H100</f>
        <v>9767.1065516146391</v>
      </c>
      <c r="C11" s="102">
        <f t="shared" si="2"/>
        <v>12.651502220998401</v>
      </c>
      <c r="D11" s="103">
        <f t="shared" si="3"/>
        <v>21.878641893181246</v>
      </c>
      <c r="E11" s="104">
        <f t="shared" si="4"/>
        <v>23.99087681088173</v>
      </c>
      <c r="F11" s="103">
        <f t="shared" si="5"/>
        <v>20.508283873796309</v>
      </c>
      <c r="G11" s="104">
        <f t="shared" si="6"/>
        <v>36.95016205646268</v>
      </c>
      <c r="H11" s="103">
        <f t="shared" si="7"/>
        <v>20.017664396734229</v>
      </c>
      <c r="I11" s="104">
        <f t="shared" si="8"/>
        <v>88.787303038786476</v>
      </c>
      <c r="J11" s="103">
        <f t="shared" si="9"/>
        <v>19.513122218919509</v>
      </c>
      <c r="K11" s="104">
        <f t="shared" si="10"/>
        <v>205.420870249015</v>
      </c>
      <c r="L11" s="105">
        <f t="shared" si="11"/>
        <v>19.316080862165723</v>
      </c>
    </row>
    <row r="12" spans="1:12" ht="18.75" customHeight="1" x14ac:dyDescent="0.2">
      <c r="A12" s="100" t="s">
        <v>13</v>
      </c>
      <c r="B12" s="101">
        <f>[1]PLANCUSr_CJ!H101</f>
        <v>4535.5318613391764</v>
      </c>
      <c r="C12" s="102">
        <f t="shared" si="2"/>
        <v>5.8749529468024146</v>
      </c>
      <c r="D12" s="103">
        <f t="shared" si="3"/>
        <v>10.1597414612979</v>
      </c>
      <c r="E12" s="104">
        <f t="shared" si="4"/>
        <v>11.140595792848114</v>
      </c>
      <c r="F12" s="103">
        <f t="shared" si="5"/>
        <v>9.5233910308488205</v>
      </c>
      <c r="G12" s="104">
        <f t="shared" si="6"/>
        <v>17.158473331186052</v>
      </c>
      <c r="H12" s="103">
        <f t="shared" si="7"/>
        <v>9.2955630391862538</v>
      </c>
      <c r="I12" s="104">
        <f t="shared" si="8"/>
        <v>41.229983484537811</v>
      </c>
      <c r="J12" s="103">
        <f t="shared" si="9"/>
        <v>9.0612697906407238</v>
      </c>
      <c r="K12" s="104">
        <f t="shared" si="10"/>
        <v>95.390881329579287</v>
      </c>
      <c r="L12" s="105">
        <f t="shared" si="11"/>
        <v>8.96977008734215</v>
      </c>
    </row>
    <row r="13" spans="1:12" ht="18.75" customHeight="1" x14ac:dyDescent="0.2">
      <c r="A13" s="100" t="s">
        <v>14</v>
      </c>
      <c r="B13" s="101">
        <f>[1]PLANCUSr_CJ!H102</f>
        <v>801.26757131965223</v>
      </c>
      <c r="C13" s="102">
        <f t="shared" si="2"/>
        <v>1.0378957580317119</v>
      </c>
      <c r="D13" s="103">
        <f t="shared" si="3"/>
        <v>1.7948658756695632</v>
      </c>
      <c r="E13" s="104">
        <f t="shared" si="4"/>
        <v>1.9681480379577019</v>
      </c>
      <c r="F13" s="103">
        <f t="shared" si="5"/>
        <v>1.6824453306260101</v>
      </c>
      <c r="G13" s="104">
        <f t="shared" si="6"/>
        <v>3.0312935007302619</v>
      </c>
      <c r="H13" s="103">
        <f t="shared" si="7"/>
        <v>1.6421962072290031</v>
      </c>
      <c r="I13" s="104">
        <f t="shared" si="8"/>
        <v>7.2838753518205026</v>
      </c>
      <c r="J13" s="103">
        <f t="shared" si="9"/>
        <v>1.6008049023108546</v>
      </c>
      <c r="K13" s="104">
        <f t="shared" si="10"/>
        <v>16.852184516773541</v>
      </c>
      <c r="L13" s="105">
        <f t="shared" si="11"/>
        <v>1.5846401509035362</v>
      </c>
    </row>
    <row r="14" spans="1:12" ht="18.75" customHeight="1" x14ac:dyDescent="0.2">
      <c r="A14" s="100" t="s">
        <v>15</v>
      </c>
      <c r="B14" s="101">
        <f>[1]PLANCUSr_CJ!H103</f>
        <v>633.29583333317862</v>
      </c>
      <c r="C14" s="102">
        <f t="shared" si="2"/>
        <v>0.82031905760659718</v>
      </c>
      <c r="D14" s="103">
        <f t="shared" si="3"/>
        <v>1.4186036239821584</v>
      </c>
      <c r="E14" s="104">
        <f t="shared" si="4"/>
        <v>1.5555602103909991</v>
      </c>
      <c r="F14" s="103">
        <f t="shared" si="5"/>
        <v>1.3297500807895</v>
      </c>
      <c r="G14" s="104">
        <f t="shared" si="6"/>
        <v>2.3958358135731728</v>
      </c>
      <c r="H14" s="103">
        <f t="shared" si="7"/>
        <v>1.2979384824483151</v>
      </c>
      <c r="I14" s="104">
        <f t="shared" si="8"/>
        <v>5.7569382263018678</v>
      </c>
      <c r="J14" s="103">
        <f t="shared" si="9"/>
        <v>1.2652241409734506</v>
      </c>
      <c r="K14" s="104">
        <f t="shared" si="10"/>
        <v>13.319418654941432</v>
      </c>
      <c r="L14" s="105">
        <f t="shared" si="11"/>
        <v>1.2524480470947714</v>
      </c>
    </row>
    <row r="15" spans="1:12" ht="18.75" customHeight="1" x14ac:dyDescent="0.2">
      <c r="A15" s="100" t="s">
        <v>16</v>
      </c>
      <c r="B15" s="101">
        <f>[1]PLANCUSr_CJ!H104</f>
        <v>4417.8910669929564</v>
      </c>
      <c r="C15" s="102">
        <f t="shared" si="2"/>
        <v>5.7225707890890671</v>
      </c>
      <c r="D15" s="103">
        <f t="shared" si="3"/>
        <v>9.8962221889393085</v>
      </c>
      <c r="E15" s="104">
        <f t="shared" si="4"/>
        <v>10.851635516825748</v>
      </c>
      <c r="F15" s="103">
        <f t="shared" si="5"/>
        <v>9.276377159049467</v>
      </c>
      <c r="G15" s="104">
        <f t="shared" si="6"/>
        <v>16.713423777096239</v>
      </c>
      <c r="H15" s="103">
        <f t="shared" si="7"/>
        <v>9.0544584778565174</v>
      </c>
      <c r="I15" s="104">
        <f t="shared" si="8"/>
        <v>40.160576818178207</v>
      </c>
      <c r="J15" s="103">
        <f t="shared" si="9"/>
        <v>8.826242233003498</v>
      </c>
      <c r="K15" s="104">
        <f t="shared" si="10"/>
        <v>92.916671160612623</v>
      </c>
      <c r="L15" s="105">
        <f t="shared" si="11"/>
        <v>8.7371158120690566</v>
      </c>
    </row>
    <row r="16" spans="1:12" ht="18.75" customHeight="1" thickBot="1" x14ac:dyDescent="0.25">
      <c r="A16" s="106" t="s">
        <v>17</v>
      </c>
      <c r="B16" s="107">
        <f>[1]PLANCUSr_CJ!H105</f>
        <v>-493.65394752094164</v>
      </c>
      <c r="C16" s="108">
        <f t="shared" si="2"/>
        <v>-0.63943850519715661</v>
      </c>
      <c r="D16" s="109">
        <f t="shared" si="3"/>
        <v>-1.1058011786694901</v>
      </c>
      <c r="E16" s="110">
        <f t="shared" si="4"/>
        <v>-1.2125588043495377</v>
      </c>
      <c r="F16" s="109">
        <f t="shared" si="5"/>
        <v>-1.0365398634364216</v>
      </c>
      <c r="G16" s="110">
        <f t="shared" si="6"/>
        <v>-1.8675534319522591</v>
      </c>
      <c r="H16" s="109">
        <f t="shared" si="7"/>
        <v>-1.0117427302934114</v>
      </c>
      <c r="I16" s="110">
        <f t="shared" si="8"/>
        <v>-4.4875319423631446</v>
      </c>
      <c r="J16" s="109">
        <f t="shared" si="9"/>
        <v>-0.98624190909802101</v>
      </c>
      <c r="K16" s="110">
        <f t="shared" si="10"/>
        <v>-10.382483590787636</v>
      </c>
      <c r="L16" s="111">
        <f t="shared" si="11"/>
        <v>-0.976282947037726</v>
      </c>
    </row>
    <row r="17" spans="1:12" ht="4.5" customHeight="1" thickBot="1" x14ac:dyDescent="0.25">
      <c r="A17" s="112"/>
      <c r="B17" s="113"/>
      <c r="C17" s="114"/>
      <c r="D17" s="115"/>
      <c r="E17" s="114"/>
      <c r="F17" s="115"/>
      <c r="G17" s="114"/>
      <c r="H17" s="115"/>
      <c r="I17" s="114"/>
      <c r="J17" s="115"/>
      <c r="K17" s="114"/>
      <c r="L17" s="113"/>
    </row>
    <row r="18" spans="1:12" s="93" customFormat="1" ht="18.75" customHeight="1" x14ac:dyDescent="0.2">
      <c r="A18" s="116" t="s">
        <v>18</v>
      </c>
      <c r="B18" s="117"/>
      <c r="C18" s="118">
        <f t="shared" ref="C18:L18" si="12">SUM(C19:C25)</f>
        <v>4.131784883768935</v>
      </c>
      <c r="D18" s="119">
        <f t="shared" si="12"/>
        <v>7.1452259401734697</v>
      </c>
      <c r="E18" s="120">
        <f t="shared" si="12"/>
        <v>33.05427907015148</v>
      </c>
      <c r="F18" s="119">
        <f t="shared" si="12"/>
        <v>28.256013473708315</v>
      </c>
      <c r="G18" s="120">
        <f t="shared" si="12"/>
        <v>66.108558140302961</v>
      </c>
      <c r="H18" s="119">
        <f t="shared" si="12"/>
        <v>35.814157691173698</v>
      </c>
      <c r="I18" s="120">
        <f t="shared" si="12"/>
        <v>198.32567442090888</v>
      </c>
      <c r="J18" s="119">
        <f t="shared" si="12"/>
        <v>43.586785403699629</v>
      </c>
      <c r="K18" s="120">
        <f t="shared" si="12"/>
        <v>495.81418605227213</v>
      </c>
      <c r="L18" s="121">
        <f t="shared" si="12"/>
        <v>46.622268218340842</v>
      </c>
    </row>
    <row r="19" spans="1:12" ht="18.75" customHeight="1" x14ac:dyDescent="0.2">
      <c r="A19" s="100" t="s">
        <v>19</v>
      </c>
      <c r="B19" s="122">
        <f>[1]PLANCUSr_CJ!H109</f>
        <v>0.32714919514459273</v>
      </c>
      <c r="C19" s="102">
        <f t="shared" ref="C19:C25" si="13">$B19/$C$2*C$4</f>
        <v>0.65419371929409842</v>
      </c>
      <c r="D19" s="103">
        <f t="shared" ref="D19:D25" si="14">C19/C$7*100</f>
        <v>1.1313178358731226</v>
      </c>
      <c r="E19" s="104">
        <f t="shared" ref="E19:E25" si="15">$B19/$C$2*E$4</f>
        <v>5.2335497543527874</v>
      </c>
      <c r="F19" s="103">
        <f t="shared" ref="F19:F25" si="16">E19/E$7*100</f>
        <v>4.4738308181058599</v>
      </c>
      <c r="G19" s="104">
        <f t="shared" ref="G19:G25" si="17">$B19/$C$2*G$4</f>
        <v>10.467099508705575</v>
      </c>
      <c r="H19" s="103">
        <f t="shared" ref="H19:H25" si="18">G19/G$7*100</f>
        <v>5.6705268261697146</v>
      </c>
      <c r="I19" s="104">
        <f t="shared" ref="I19:I25" si="19">$B19/$C$2*I$4</f>
        <v>31.401298526116726</v>
      </c>
      <c r="J19" s="103">
        <f t="shared" ref="J19:J25" si="20">I19/I$7*100</f>
        <v>6.9011824326415256</v>
      </c>
      <c r="K19" s="104">
        <f t="shared" ref="K19:K25" si="21">$B19/$C$2*K$4</f>
        <v>78.503246315291818</v>
      </c>
      <c r="L19" s="105">
        <f t="shared" ref="L19:L25" si="22">K19/K$7*100</f>
        <v>7.3817964646460315</v>
      </c>
    </row>
    <row r="20" spans="1:12" ht="18.75" customHeight="1" x14ac:dyDescent="0.2">
      <c r="A20" s="100" t="s">
        <v>20</v>
      </c>
      <c r="B20" s="122">
        <f>[1]PLANCUSr_CJ!H110</f>
        <v>1.5199943119141957</v>
      </c>
      <c r="C20" s="102">
        <f t="shared" si="13"/>
        <v>3.0395023034598379</v>
      </c>
      <c r="D20" s="103">
        <f t="shared" si="14"/>
        <v>5.2563072170610114</v>
      </c>
      <c r="E20" s="104">
        <f t="shared" si="15"/>
        <v>24.316018427678703</v>
      </c>
      <c r="F20" s="103">
        <f t="shared" si="16"/>
        <v>20.786226886426551</v>
      </c>
      <c r="G20" s="104">
        <f t="shared" si="17"/>
        <v>48.632036855357406</v>
      </c>
      <c r="H20" s="103">
        <f t="shared" si="18"/>
        <v>26.346292912398393</v>
      </c>
      <c r="I20" s="104">
        <f t="shared" si="19"/>
        <v>145.89611056607222</v>
      </c>
      <c r="J20" s="103">
        <f t="shared" si="20"/>
        <v>32.064141372749056</v>
      </c>
      <c r="K20" s="104">
        <f t="shared" si="21"/>
        <v>364.74027641518057</v>
      </c>
      <c r="L20" s="105">
        <f t="shared" si="22"/>
        <v>34.297161064422504</v>
      </c>
    </row>
    <row r="21" spans="1:12" ht="18.75" customHeight="1" x14ac:dyDescent="0.2">
      <c r="A21" s="123" t="s">
        <v>35</v>
      </c>
      <c r="B21" s="122">
        <f>[1]PLANCUSr_CJ!H111</f>
        <v>5.2279289809944784E-2</v>
      </c>
      <c r="C21" s="102">
        <f t="shared" si="13"/>
        <v>0.10454185292342183</v>
      </c>
      <c r="D21" s="103">
        <f t="shared" si="14"/>
        <v>0.18078752412222798</v>
      </c>
      <c r="E21" s="104">
        <f t="shared" si="15"/>
        <v>0.83633482338737464</v>
      </c>
      <c r="F21" s="103">
        <f t="shared" si="16"/>
        <v>0.71492976712672329</v>
      </c>
      <c r="G21" s="104">
        <f t="shared" si="17"/>
        <v>1.6726696467747493</v>
      </c>
      <c r="H21" s="103">
        <f t="shared" si="18"/>
        <v>0.90616489271620571</v>
      </c>
      <c r="I21" s="104">
        <f t="shared" si="19"/>
        <v>5.0180089403242478</v>
      </c>
      <c r="J21" s="103">
        <f t="shared" si="20"/>
        <v>1.1028268502018026</v>
      </c>
      <c r="K21" s="104">
        <f t="shared" si="21"/>
        <v>12.545022350810619</v>
      </c>
      <c r="L21" s="105">
        <f t="shared" si="22"/>
        <v>1.1796302189363166</v>
      </c>
    </row>
    <row r="22" spans="1:12" ht="18.75" customHeight="1" x14ac:dyDescent="0.2">
      <c r="A22" s="100" t="s">
        <v>21</v>
      </c>
      <c r="B22" s="122">
        <f>[1]PLANCUSr_CJ!H112</f>
        <v>3.9730176207372181E-2</v>
      </c>
      <c r="C22" s="102">
        <f t="shared" si="13"/>
        <v>7.9447640792217611E-2</v>
      </c>
      <c r="D22" s="103">
        <f t="shared" si="14"/>
        <v>0.13739131146545031</v>
      </c>
      <c r="E22" s="104">
        <f t="shared" si="15"/>
        <v>0.63558112633774089</v>
      </c>
      <c r="F22" s="103">
        <f t="shared" si="16"/>
        <v>0.54331812323963691</v>
      </c>
      <c r="G22" s="104">
        <f t="shared" si="17"/>
        <v>1.2711622526754818</v>
      </c>
      <c r="H22" s="103">
        <f t="shared" si="18"/>
        <v>0.68864919533969815</v>
      </c>
      <c r="I22" s="104">
        <f t="shared" si="19"/>
        <v>3.8134867580264453</v>
      </c>
      <c r="J22" s="103">
        <f t="shared" si="20"/>
        <v>0.83810444334697309</v>
      </c>
      <c r="K22" s="104">
        <f t="shared" si="21"/>
        <v>9.5337168950661138</v>
      </c>
      <c r="L22" s="105">
        <f t="shared" si="22"/>
        <v>0.89647194191543256</v>
      </c>
    </row>
    <row r="23" spans="1:12" ht="18.75" customHeight="1" x14ac:dyDescent="0.2">
      <c r="A23" s="100" t="s">
        <v>22</v>
      </c>
      <c r="B23" s="122">
        <f>[1]PLANCUSr_CJ!H113</f>
        <v>9.9739655612936476E-2</v>
      </c>
      <c r="C23" s="102">
        <f t="shared" si="13"/>
        <v>0.19944739964193026</v>
      </c>
      <c r="D23" s="103">
        <f t="shared" si="14"/>
        <v>0.34491067993881591</v>
      </c>
      <c r="E23" s="104">
        <f t="shared" si="15"/>
        <v>1.5955791971354421</v>
      </c>
      <c r="F23" s="103">
        <f t="shared" si="16"/>
        <v>1.3639597825426459</v>
      </c>
      <c r="G23" s="104">
        <f t="shared" si="17"/>
        <v>3.1911583942708841</v>
      </c>
      <c r="H23" s="103">
        <f t="shared" si="18"/>
        <v>1.7288026416696907</v>
      </c>
      <c r="I23" s="104">
        <f t="shared" si="19"/>
        <v>9.5734751828126523</v>
      </c>
      <c r="J23" s="103">
        <f t="shared" si="20"/>
        <v>2.103998938005915</v>
      </c>
      <c r="K23" s="104">
        <f t="shared" si="21"/>
        <v>23.93368795703163</v>
      </c>
      <c r="L23" s="105">
        <f t="shared" si="22"/>
        <v>2.2505262067454495</v>
      </c>
    </row>
    <row r="24" spans="1:12" ht="18.75" customHeight="1" x14ac:dyDescent="0.2">
      <c r="A24" s="100" t="s">
        <v>23</v>
      </c>
      <c r="B24" s="122">
        <f>[1]PLANCUSr_CJ!H114</f>
        <v>0.23793710649020774</v>
      </c>
      <c r="C24" s="102">
        <f t="shared" si="13"/>
        <v>0.4757980852867697</v>
      </c>
      <c r="D24" s="103">
        <f t="shared" si="14"/>
        <v>0.82281263834209295</v>
      </c>
      <c r="E24" s="104">
        <f t="shared" si="15"/>
        <v>3.8063846822941576</v>
      </c>
      <c r="F24" s="103">
        <f t="shared" si="16"/>
        <v>3.2538376238900608</v>
      </c>
      <c r="G24" s="104">
        <f t="shared" si="17"/>
        <v>7.6127693645883152</v>
      </c>
      <c r="H24" s="103">
        <f t="shared" si="18"/>
        <v>4.1242001060023821</v>
      </c>
      <c r="I24" s="104">
        <f t="shared" si="19"/>
        <v>22.838308093764944</v>
      </c>
      <c r="J24" s="103">
        <f t="shared" si="20"/>
        <v>5.0192615594179557</v>
      </c>
      <c r="K24" s="104">
        <f t="shared" si="21"/>
        <v>57.095770234412363</v>
      </c>
      <c r="L24" s="105">
        <f t="shared" si="22"/>
        <v>5.3688143439302376</v>
      </c>
    </row>
    <row r="25" spans="1:12" ht="18.75" customHeight="1" thickBot="1" x14ac:dyDescent="0.25">
      <c r="A25" s="106" t="s">
        <v>17</v>
      </c>
      <c r="B25" s="124">
        <f>[1]PLANCUSr_CJ!H115</f>
        <v>-0.21060675050408059</v>
      </c>
      <c r="C25" s="108">
        <f t="shared" si="13"/>
        <v>-0.42114611762934051</v>
      </c>
      <c r="D25" s="109">
        <f t="shared" si="14"/>
        <v>-0.72830126662925165</v>
      </c>
      <c r="E25" s="110">
        <f t="shared" si="15"/>
        <v>-3.3691689410347241</v>
      </c>
      <c r="F25" s="109">
        <f t="shared" si="16"/>
        <v>-2.8800895276231619</v>
      </c>
      <c r="G25" s="110">
        <f t="shared" si="17"/>
        <v>-6.7383378820694482</v>
      </c>
      <c r="H25" s="109">
        <f t="shared" si="18"/>
        <v>-3.6504788831223887</v>
      </c>
      <c r="I25" s="110">
        <f t="shared" si="19"/>
        <v>-20.215013646208345</v>
      </c>
      <c r="J25" s="109">
        <f t="shared" si="20"/>
        <v>-4.4427301926635989</v>
      </c>
      <c r="K25" s="110">
        <f t="shared" si="21"/>
        <v>-50.537534115520856</v>
      </c>
      <c r="L25" s="111">
        <f t="shared" si="22"/>
        <v>-4.7521320222551271</v>
      </c>
    </row>
    <row r="26" spans="1:12" ht="4.5" customHeight="1" thickBot="1" x14ac:dyDescent="0.25">
      <c r="A26" s="125"/>
      <c r="B26" s="126"/>
      <c r="C26" s="127"/>
      <c r="D26" s="128"/>
      <c r="E26" s="127"/>
      <c r="F26" s="128"/>
      <c r="G26" s="127"/>
      <c r="H26" s="129"/>
      <c r="I26" s="127"/>
      <c r="J26" s="129"/>
      <c r="K26" s="127"/>
    </row>
    <row r="27" spans="1:12" s="93" customFormat="1" ht="18.75" customHeight="1" x14ac:dyDescent="0.2">
      <c r="A27" s="130" t="s">
        <v>24</v>
      </c>
      <c r="B27" s="131"/>
      <c r="C27" s="131">
        <f t="shared" ref="C27:L27" si="23">SUM(C28:C36)</f>
        <v>19.962535646725495</v>
      </c>
      <c r="D27" s="132">
        <f t="shared" si="23"/>
        <v>34.521842629064949</v>
      </c>
      <c r="E27" s="133">
        <f t="shared" si="23"/>
        <v>19.962535646725495</v>
      </c>
      <c r="F27" s="132">
        <f t="shared" si="23"/>
        <v>17.064709685730659</v>
      </c>
      <c r="G27" s="133">
        <f t="shared" si="23"/>
        <v>19.962535646725495</v>
      </c>
      <c r="H27" s="132">
        <f t="shared" si="23"/>
        <v>10.81465728007824</v>
      </c>
      <c r="I27" s="133">
        <f t="shared" si="23"/>
        <v>19.962535646725495</v>
      </c>
      <c r="J27" s="132">
        <f t="shared" si="23"/>
        <v>4.3872421454667494</v>
      </c>
      <c r="K27" s="133">
        <f t="shared" si="23"/>
        <v>19.962535646725495</v>
      </c>
      <c r="L27" s="134">
        <f t="shared" si="23"/>
        <v>1.8771118645276226</v>
      </c>
    </row>
    <row r="28" spans="1:12" ht="18.75" customHeight="1" x14ac:dyDescent="0.2">
      <c r="A28" s="100" t="s">
        <v>25</v>
      </c>
      <c r="B28" s="135">
        <f>[1]DAT!I9</f>
        <v>1395551.1365873138</v>
      </c>
      <c r="C28" s="101">
        <f t="shared" ref="C28:C36" si="24">$B28/$L$2</f>
        <v>7.3093907532587492</v>
      </c>
      <c r="D28" s="103">
        <f t="shared" ref="D28:D36" si="25">C28/C$7*100</f>
        <v>12.640360010564686</v>
      </c>
      <c r="E28" s="136">
        <f t="shared" ref="E28:E36" si="26">$B28/$L$2</f>
        <v>7.3093907532587492</v>
      </c>
      <c r="F28" s="103">
        <f t="shared" ref="F28:F36" si="27">E28/E$7*100</f>
        <v>6.2483360526589662</v>
      </c>
      <c r="G28" s="136">
        <f t="shared" ref="G28:G36" si="28">$B28/$L$2</f>
        <v>7.3093907532587492</v>
      </c>
      <c r="H28" s="103">
        <f t="shared" ref="H28:H36" si="29">G28/G$7*100</f>
        <v>3.9598454485732044</v>
      </c>
      <c r="I28" s="136">
        <f t="shared" ref="I28:I36" si="30">$B28/$L$2</f>
        <v>7.3093907532587492</v>
      </c>
      <c r="J28" s="103">
        <f t="shared" ref="J28:J36" si="31">I28/I$7*100</f>
        <v>1.6064125188245781</v>
      </c>
      <c r="K28" s="136">
        <f t="shared" ref="K28:K36" si="32">$B28/$L$2</f>
        <v>7.3093907532587492</v>
      </c>
      <c r="L28" s="105">
        <f t="shared" ref="L28:L36" si="33">K28/K$7*100</f>
        <v>0.68731469529829536</v>
      </c>
    </row>
    <row r="29" spans="1:12" ht="18.75" customHeight="1" x14ac:dyDescent="0.2">
      <c r="A29" s="100" t="s">
        <v>26</v>
      </c>
      <c r="B29" s="135">
        <f>[1]DAT!I16</f>
        <v>361922.0086967884</v>
      </c>
      <c r="C29" s="101">
        <f t="shared" si="24"/>
        <v>1.8956162296125394</v>
      </c>
      <c r="D29" s="103">
        <f t="shared" si="25"/>
        <v>3.2781489446968042</v>
      </c>
      <c r="E29" s="136">
        <f t="shared" si="26"/>
        <v>1.8956162296125394</v>
      </c>
      <c r="F29" s="103">
        <f t="shared" si="27"/>
        <v>1.620442473158638</v>
      </c>
      <c r="G29" s="136">
        <f t="shared" si="28"/>
        <v>1.8956162296125394</v>
      </c>
      <c r="H29" s="103">
        <f t="shared" si="29"/>
        <v>1.0269456856888044</v>
      </c>
      <c r="I29" s="136">
        <f t="shared" si="30"/>
        <v>1.8956162296125394</v>
      </c>
      <c r="J29" s="103">
        <f t="shared" si="31"/>
        <v>0.41660676586198547</v>
      </c>
      <c r="K29" s="136">
        <f t="shared" si="32"/>
        <v>1.8956162296125394</v>
      </c>
      <c r="L29" s="105">
        <f t="shared" si="33"/>
        <v>0.17824808321784963</v>
      </c>
    </row>
    <row r="30" spans="1:12" ht="18.75" customHeight="1" x14ac:dyDescent="0.2">
      <c r="A30" s="100" t="s">
        <v>27</v>
      </c>
      <c r="B30" s="135">
        <f>[1]DAT!I21</f>
        <v>235603.64535214315</v>
      </c>
      <c r="C30" s="101">
        <f t="shared" si="24"/>
        <v>1.2340064520905236</v>
      </c>
      <c r="D30" s="103">
        <f t="shared" si="25"/>
        <v>2.1340062853842734</v>
      </c>
      <c r="E30" s="136">
        <f t="shared" si="26"/>
        <v>1.2340064520905236</v>
      </c>
      <c r="F30" s="103">
        <f t="shared" si="27"/>
        <v>1.0548741015622167</v>
      </c>
      <c r="G30" s="136">
        <f t="shared" si="28"/>
        <v>1.2340064520905236</v>
      </c>
      <c r="H30" s="103">
        <f t="shared" si="29"/>
        <v>0.66852012674819561</v>
      </c>
      <c r="I30" s="136">
        <f t="shared" si="30"/>
        <v>1.2340064520905236</v>
      </c>
      <c r="J30" s="103">
        <f t="shared" si="31"/>
        <v>0.27120227661446872</v>
      </c>
      <c r="K30" s="136">
        <f t="shared" si="32"/>
        <v>1.2340064520905236</v>
      </c>
      <c r="L30" s="105">
        <f t="shared" si="33"/>
        <v>0.11603576785610993</v>
      </c>
    </row>
    <row r="31" spans="1:12" ht="18.75" customHeight="1" x14ac:dyDescent="0.2">
      <c r="A31" s="100" t="s">
        <v>28</v>
      </c>
      <c r="B31" s="135">
        <f>[1]DAT!I28</f>
        <v>565751.25511878042</v>
      </c>
      <c r="C31" s="101">
        <f t="shared" si="24"/>
        <v>2.9631999031738934</v>
      </c>
      <c r="D31" s="103">
        <f t="shared" si="25"/>
        <v>5.1243550692223483</v>
      </c>
      <c r="E31" s="136">
        <f t="shared" si="26"/>
        <v>2.9631999031738934</v>
      </c>
      <c r="F31" s="103">
        <f t="shared" si="27"/>
        <v>2.5330522626639453</v>
      </c>
      <c r="G31" s="136">
        <f t="shared" si="28"/>
        <v>2.9631999031738934</v>
      </c>
      <c r="H31" s="103">
        <f t="shared" si="29"/>
        <v>1.6053066590487601</v>
      </c>
      <c r="I31" s="136">
        <f t="shared" si="30"/>
        <v>2.9631999031738934</v>
      </c>
      <c r="J31" s="103">
        <f t="shared" si="31"/>
        <v>0.651233677460206</v>
      </c>
      <c r="K31" s="136">
        <f t="shared" si="32"/>
        <v>2.9631999031738934</v>
      </c>
      <c r="L31" s="105">
        <f t="shared" si="33"/>
        <v>0.27863482844310955</v>
      </c>
    </row>
    <row r="32" spans="1:12" ht="18.75" customHeight="1" x14ac:dyDescent="0.2">
      <c r="A32" s="100" t="s">
        <v>29</v>
      </c>
      <c r="B32" s="135">
        <f>[1]DAT!I35</f>
        <v>21887.55509238557</v>
      </c>
      <c r="C32" s="101">
        <f t="shared" si="24"/>
        <v>0.1146390759961342</v>
      </c>
      <c r="D32" s="103">
        <f t="shared" si="25"/>
        <v>0.19824897050736778</v>
      </c>
      <c r="E32" s="136">
        <f t="shared" si="26"/>
        <v>0.1146390759961342</v>
      </c>
      <c r="F32" s="103">
        <f t="shared" si="27"/>
        <v>9.7997698545642331E-2</v>
      </c>
      <c r="G32" s="136">
        <f t="shared" si="28"/>
        <v>0.1146390759961342</v>
      </c>
      <c r="H32" s="103">
        <f t="shared" si="29"/>
        <v>6.2105452921578125E-2</v>
      </c>
      <c r="I32" s="136">
        <f t="shared" si="30"/>
        <v>0.1146390759961342</v>
      </c>
      <c r="J32" s="103">
        <f t="shared" si="31"/>
        <v>2.5194664376722378E-2</v>
      </c>
      <c r="K32" s="136">
        <f t="shared" si="32"/>
        <v>0.1146390759961342</v>
      </c>
      <c r="L32" s="105">
        <f t="shared" si="33"/>
        <v>1.0779711230027309E-2</v>
      </c>
    </row>
    <row r="33" spans="1:12" ht="18.75" customHeight="1" x14ac:dyDescent="0.2">
      <c r="A33" s="100" t="s">
        <v>30</v>
      </c>
      <c r="B33" s="135">
        <f>[1]DAT!I39</f>
        <v>409773.26288748905</v>
      </c>
      <c r="C33" s="101">
        <f t="shared" si="24"/>
        <v>2.1462437456838273</v>
      </c>
      <c r="D33" s="103">
        <f t="shared" si="25"/>
        <v>3.7115670144972546</v>
      </c>
      <c r="E33" s="136">
        <f t="shared" si="26"/>
        <v>2.1462437456838273</v>
      </c>
      <c r="F33" s="103">
        <f t="shared" si="27"/>
        <v>1.8346880918866308</v>
      </c>
      <c r="G33" s="136">
        <f t="shared" si="28"/>
        <v>2.1462437456838273</v>
      </c>
      <c r="H33" s="103">
        <f t="shared" si="29"/>
        <v>1.1627225598912998</v>
      </c>
      <c r="I33" s="136">
        <f t="shared" si="30"/>
        <v>2.1462437456838273</v>
      </c>
      <c r="J33" s="103">
        <f t="shared" si="31"/>
        <v>0.47168812530351334</v>
      </c>
      <c r="K33" s="136">
        <f t="shared" si="32"/>
        <v>2.1462437456838273</v>
      </c>
      <c r="L33" s="105">
        <f t="shared" si="33"/>
        <v>0.20181502342625307</v>
      </c>
    </row>
    <row r="34" spans="1:12" ht="18.75" customHeight="1" x14ac:dyDescent="0.2">
      <c r="A34" s="100" t="s">
        <v>31</v>
      </c>
      <c r="B34" s="135">
        <f>[1]DAT!I48</f>
        <v>492241.34616260917</v>
      </c>
      <c r="C34" s="101">
        <f t="shared" si="24"/>
        <v>2.5781816586177841</v>
      </c>
      <c r="D34" s="103">
        <f t="shared" si="25"/>
        <v>4.4585308731831503</v>
      </c>
      <c r="E34" s="136">
        <f t="shared" si="26"/>
        <v>2.5781816586177841</v>
      </c>
      <c r="F34" s="103">
        <f t="shared" si="27"/>
        <v>2.2039245063842774</v>
      </c>
      <c r="G34" s="136">
        <f t="shared" si="28"/>
        <v>2.5781816586177841</v>
      </c>
      <c r="H34" s="103">
        <f t="shared" si="29"/>
        <v>1.3967239201052393</v>
      </c>
      <c r="I34" s="136">
        <f t="shared" si="30"/>
        <v>2.5781816586177841</v>
      </c>
      <c r="J34" s="103">
        <f t="shared" si="31"/>
        <v>0.56661675808767809</v>
      </c>
      <c r="K34" s="136">
        <f t="shared" si="32"/>
        <v>2.5781816586177841</v>
      </c>
      <c r="L34" s="105">
        <f t="shared" si="33"/>
        <v>0.24243089484941197</v>
      </c>
    </row>
    <row r="35" spans="1:12" ht="18.75" customHeight="1" x14ac:dyDescent="0.2">
      <c r="A35" s="100" t="s">
        <v>32</v>
      </c>
      <c r="B35" s="135">
        <f>[1]DAT!I53</f>
        <v>530873.75582070288</v>
      </c>
      <c r="C35" s="101">
        <f t="shared" si="24"/>
        <v>2.7805242102648027</v>
      </c>
      <c r="D35" s="103">
        <f t="shared" si="25"/>
        <v>4.8084482308143999</v>
      </c>
      <c r="E35" s="136">
        <f t="shared" si="26"/>
        <v>2.7805242102648027</v>
      </c>
      <c r="F35" s="103">
        <f t="shared" si="27"/>
        <v>2.376894361618711</v>
      </c>
      <c r="G35" s="136">
        <f t="shared" si="28"/>
        <v>2.7805242102648027</v>
      </c>
      <c r="H35" s="103">
        <f t="shared" si="29"/>
        <v>1.5063425270780455</v>
      </c>
      <c r="I35" s="136">
        <f t="shared" si="30"/>
        <v>2.7805242102648027</v>
      </c>
      <c r="J35" s="103">
        <f t="shared" si="31"/>
        <v>0.61108634782903437</v>
      </c>
      <c r="K35" s="136">
        <f t="shared" si="32"/>
        <v>2.7805242102648027</v>
      </c>
      <c r="L35" s="105">
        <f t="shared" si="33"/>
        <v>0.26145751607213796</v>
      </c>
    </row>
    <row r="36" spans="1:12" ht="18.75" customHeight="1" thickBot="1" x14ac:dyDescent="0.25">
      <c r="A36" s="106" t="s">
        <v>17</v>
      </c>
      <c r="B36" s="137">
        <f>[1]DAT!I67</f>
        <v>-202241.26103146974</v>
      </c>
      <c r="C36" s="107">
        <f t="shared" si="24"/>
        <v>-1.0592663819727579</v>
      </c>
      <c r="D36" s="109">
        <f t="shared" si="25"/>
        <v>-1.8318227698053406</v>
      </c>
      <c r="E36" s="138">
        <f t="shared" si="26"/>
        <v>-1.0592663819727579</v>
      </c>
      <c r="F36" s="109">
        <f t="shared" si="27"/>
        <v>-0.90549986274837058</v>
      </c>
      <c r="G36" s="138">
        <f t="shared" si="28"/>
        <v>-1.0592663819727579</v>
      </c>
      <c r="H36" s="109">
        <f t="shared" si="29"/>
        <v>-0.57385509997688666</v>
      </c>
      <c r="I36" s="138">
        <f t="shared" si="30"/>
        <v>-1.0592663819727579</v>
      </c>
      <c r="J36" s="109">
        <f t="shared" si="31"/>
        <v>-0.23279898889143699</v>
      </c>
      <c r="K36" s="138">
        <f t="shared" si="32"/>
        <v>-1.0592663819727579</v>
      </c>
      <c r="L36" s="111">
        <f t="shared" si="33"/>
        <v>-9.9604655865572281E-2</v>
      </c>
    </row>
    <row r="37" spans="1:12" ht="18.75" customHeight="1" x14ac:dyDescent="0.2">
      <c r="A37" s="139"/>
      <c r="B37" s="140"/>
      <c r="C37" s="114"/>
      <c r="D37" s="113"/>
      <c r="E37" s="114"/>
      <c r="F37" s="113"/>
      <c r="G37" s="114"/>
      <c r="H37" s="113"/>
      <c r="I37" s="114"/>
      <c r="J37" s="113"/>
      <c r="K37" s="114"/>
      <c r="L37" s="113"/>
    </row>
    <row r="38" spans="1:12" s="55" customFormat="1" ht="42.75" customHeight="1" thickBot="1" x14ac:dyDescent="0.25">
      <c r="B38" s="141"/>
      <c r="C38" s="142" t="s">
        <v>36</v>
      </c>
      <c r="D38" s="141"/>
      <c r="E38" s="143"/>
      <c r="F38" s="141"/>
      <c r="G38" s="141"/>
      <c r="H38" s="141"/>
      <c r="I38" s="141"/>
      <c r="J38" s="141"/>
      <c r="K38" s="141"/>
      <c r="L38" s="141"/>
    </row>
    <row r="39" spans="1:12" ht="19.5" thickBot="1" x14ac:dyDescent="0.25">
      <c r="A39" s="170" t="s">
        <v>5</v>
      </c>
      <c r="B39" s="171"/>
      <c r="C39" s="144">
        <v>50</v>
      </c>
      <c r="D39" s="145"/>
      <c r="E39" s="144">
        <v>400</v>
      </c>
      <c r="F39" s="145"/>
      <c r="G39" s="144">
        <v>800</v>
      </c>
      <c r="H39" s="144"/>
      <c r="I39" s="144">
        <v>2400</v>
      </c>
      <c r="J39" s="144"/>
      <c r="K39" s="144">
        <v>6000</v>
      </c>
      <c r="L39" s="146"/>
    </row>
    <row r="40" spans="1:12" s="93" customFormat="1" ht="18" customHeight="1" thickBot="1" x14ac:dyDescent="0.25">
      <c r="A40" s="157" t="s">
        <v>33</v>
      </c>
      <c r="B40" s="158"/>
      <c r="C40" s="159">
        <f>D10+D12+D13+D14+D15</f>
        <v>37.560090716249817</v>
      </c>
      <c r="D40" s="160"/>
      <c r="E40" s="159">
        <f>F10+F12+F13+F14+F15</f>
        <v>35.207532830201146</v>
      </c>
      <c r="F40" s="160"/>
      <c r="G40" s="159">
        <f>H10+H12+H13+H14+H15</f>
        <v>34.365263362307246</v>
      </c>
      <c r="H40" s="160"/>
      <c r="I40" s="159">
        <f>J10+J12+J13+J14+J15</f>
        <v>33.499092141012142</v>
      </c>
      <c r="J40" s="160"/>
      <c r="K40" s="159">
        <f>L10+L12+L13+L14+L15</f>
        <v>33.160822002003563</v>
      </c>
      <c r="L40" s="174"/>
    </row>
    <row r="41" spans="1:12" s="93" customFormat="1" ht="18" customHeight="1" thickBot="1" x14ac:dyDescent="0.25">
      <c r="A41" s="157" t="s">
        <v>19</v>
      </c>
      <c r="B41" s="158"/>
      <c r="C41" s="159">
        <f>D19+D22+D23</f>
        <v>1.613619827277389</v>
      </c>
      <c r="D41" s="160"/>
      <c r="E41" s="159">
        <f>F19+F22+F23</f>
        <v>6.3811087238881425</v>
      </c>
      <c r="F41" s="160"/>
      <c r="G41" s="159">
        <f>H19+H22+H23</f>
        <v>8.0879786631791042</v>
      </c>
      <c r="H41" s="160"/>
      <c r="I41" s="159">
        <f>J19+J22+J23</f>
        <v>9.843285813994413</v>
      </c>
      <c r="J41" s="160"/>
      <c r="K41" s="159">
        <f>L19+L22+L23</f>
        <v>10.528794613306914</v>
      </c>
      <c r="L41" s="174"/>
    </row>
    <row r="42" spans="1:12" s="93" customFormat="1" ht="18" customHeight="1" thickBot="1" x14ac:dyDescent="0.25">
      <c r="A42" s="157" t="s">
        <v>34</v>
      </c>
      <c r="B42" s="158"/>
      <c r="C42" s="159">
        <f>D11+D28</f>
        <v>34.519001903745931</v>
      </c>
      <c r="D42" s="160"/>
      <c r="E42" s="159">
        <f>F11+F28</f>
        <v>26.756619926455276</v>
      </c>
      <c r="F42" s="160"/>
      <c r="G42" s="159">
        <f>H11+H28</f>
        <v>23.977509845307434</v>
      </c>
      <c r="H42" s="160"/>
      <c r="I42" s="159">
        <f>J11+J28</f>
        <v>21.119534737744086</v>
      </c>
      <c r="J42" s="160"/>
      <c r="K42" s="159">
        <f>L11+L28</f>
        <v>20.003395557464017</v>
      </c>
      <c r="L42" s="174"/>
    </row>
    <row r="43" spans="1:12" s="93" customFormat="1" ht="18" customHeight="1" thickBot="1" x14ac:dyDescent="0.25">
      <c r="A43" s="172" t="s">
        <v>40</v>
      </c>
      <c r="B43" s="173"/>
      <c r="C43" s="159">
        <f>D20+D21</f>
        <v>5.4370947411832393</v>
      </c>
      <c r="D43" s="160"/>
      <c r="E43" s="159">
        <f>F20+F21</f>
        <v>21.501156653553274</v>
      </c>
      <c r="F43" s="160"/>
      <c r="G43" s="159">
        <f>H20+H21</f>
        <v>27.252457805114599</v>
      </c>
      <c r="H43" s="160"/>
      <c r="I43" s="159">
        <f>J20+J21</f>
        <v>33.166968222950857</v>
      </c>
      <c r="J43" s="160"/>
      <c r="K43" s="159">
        <f>L20+L21</f>
        <v>35.476791283358821</v>
      </c>
      <c r="L43" s="174"/>
    </row>
    <row r="44" spans="1:12" s="93" customFormat="1" ht="18" customHeight="1" thickBot="1" x14ac:dyDescent="0.25">
      <c r="A44" s="157" t="s">
        <v>23</v>
      </c>
      <c r="B44" s="158"/>
      <c r="C44" s="159">
        <f>D24</f>
        <v>0.82281263834209295</v>
      </c>
      <c r="D44" s="160"/>
      <c r="E44" s="159">
        <f>F24</f>
        <v>3.2538376238900608</v>
      </c>
      <c r="F44" s="160"/>
      <c r="G44" s="159">
        <f>H24</f>
        <v>4.1242001060023821</v>
      </c>
      <c r="H44" s="160"/>
      <c r="I44" s="159">
        <f>J24</f>
        <v>5.0192615594179557</v>
      </c>
      <c r="J44" s="160"/>
      <c r="K44" s="159">
        <f>L24</f>
        <v>5.3688143439302376</v>
      </c>
      <c r="L44" s="174"/>
    </row>
    <row r="45" spans="1:12" s="93" customFormat="1" ht="18" customHeight="1" thickBot="1" x14ac:dyDescent="0.25">
      <c r="A45" s="172" t="s">
        <v>37</v>
      </c>
      <c r="B45" s="173"/>
      <c r="C45" s="159">
        <f>SUM(D29:D35)</f>
        <v>23.713305388305599</v>
      </c>
      <c r="D45" s="160"/>
      <c r="E45" s="159">
        <f>SUM(F29:F35)</f>
        <v>11.721873495820059</v>
      </c>
      <c r="F45" s="160"/>
      <c r="G45" s="159">
        <f>SUM(H29:H35)</f>
        <v>7.4286669314819225</v>
      </c>
      <c r="H45" s="160"/>
      <c r="I45" s="159">
        <f>SUM(J29:J35)</f>
        <v>3.0136286155336083</v>
      </c>
      <c r="J45" s="160"/>
      <c r="K45" s="159">
        <f>SUM(L29:L35)</f>
        <v>1.2894018250948995</v>
      </c>
      <c r="L45" s="174"/>
    </row>
    <row r="46" spans="1:12" s="93" customFormat="1" ht="18" customHeight="1" thickBot="1" x14ac:dyDescent="0.3">
      <c r="A46" s="157" t="s">
        <v>17</v>
      </c>
      <c r="B46" s="158"/>
      <c r="C46" s="161">
        <f>D16+D25+D36</f>
        <v>-3.6659252151040826</v>
      </c>
      <c r="D46" s="162"/>
      <c r="E46" s="161">
        <f>F16+F25+F36</f>
        <v>-4.8221292538079537</v>
      </c>
      <c r="F46" s="162"/>
      <c r="G46" s="161">
        <f>H16+H25+H36</f>
        <v>-5.2360767133926869</v>
      </c>
      <c r="H46" s="162"/>
      <c r="I46" s="161">
        <f>J16+J25+J36</f>
        <v>-5.6617710906530565</v>
      </c>
      <c r="J46" s="162"/>
      <c r="K46" s="161">
        <f>L16+L25+L36</f>
        <v>-5.8280196251584249</v>
      </c>
      <c r="L46" s="166"/>
    </row>
    <row r="47" spans="1:12" s="93" customFormat="1" ht="18.75" customHeight="1" thickBot="1" x14ac:dyDescent="0.25">
      <c r="A47" s="163" t="s">
        <v>38</v>
      </c>
      <c r="B47" s="164"/>
      <c r="C47" s="155">
        <f>SUM(C40:D46)</f>
        <v>100</v>
      </c>
      <c r="D47" s="165"/>
      <c r="E47" s="155">
        <f>SUM(E40:F46)</f>
        <v>100</v>
      </c>
      <c r="F47" s="165"/>
      <c r="G47" s="155">
        <f>SUM(G40:H46)</f>
        <v>100</v>
      </c>
      <c r="H47" s="165"/>
      <c r="I47" s="155">
        <f>SUM(I40:J46)</f>
        <v>100</v>
      </c>
      <c r="J47" s="165"/>
      <c r="K47" s="155">
        <f>SUM(K40:L46)</f>
        <v>100.00000000000003</v>
      </c>
      <c r="L47" s="156"/>
    </row>
    <row r="48" spans="1:12" x14ac:dyDescent="0.2">
      <c r="A48" s="147" t="s">
        <v>39</v>
      </c>
    </row>
  </sheetData>
  <mergeCells count="51">
    <mergeCell ref="K42:L42"/>
    <mergeCell ref="K44:L44"/>
    <mergeCell ref="E45:F45"/>
    <mergeCell ref="G45:H45"/>
    <mergeCell ref="K43:L43"/>
    <mergeCell ref="C1:L1"/>
    <mergeCell ref="A9:B9"/>
    <mergeCell ref="A39:B39"/>
    <mergeCell ref="A43:B43"/>
    <mergeCell ref="A45:B45"/>
    <mergeCell ref="A40:B40"/>
    <mergeCell ref="A42:B42"/>
    <mergeCell ref="I40:J40"/>
    <mergeCell ref="K40:L40"/>
    <mergeCell ref="E41:F41"/>
    <mergeCell ref="G41:H41"/>
    <mergeCell ref="I41:J41"/>
    <mergeCell ref="K41:L41"/>
    <mergeCell ref="I45:J45"/>
    <mergeCell ref="K45:L45"/>
    <mergeCell ref="E42:F42"/>
    <mergeCell ref="E40:F40"/>
    <mergeCell ref="G40:H40"/>
    <mergeCell ref="A41:B41"/>
    <mergeCell ref="C40:D40"/>
    <mergeCell ref="C41:D41"/>
    <mergeCell ref="C42:D42"/>
    <mergeCell ref="C43:D43"/>
    <mergeCell ref="C44:D44"/>
    <mergeCell ref="A44:B44"/>
    <mergeCell ref="I44:J44"/>
    <mergeCell ref="E43:F43"/>
    <mergeCell ref="G43:H43"/>
    <mergeCell ref="I43:J43"/>
    <mergeCell ref="E44:F44"/>
    <mergeCell ref="G44:H44"/>
    <mergeCell ref="G42:H42"/>
    <mergeCell ref="I42:J42"/>
    <mergeCell ref="K47:L47"/>
    <mergeCell ref="A46:B46"/>
    <mergeCell ref="C45:D45"/>
    <mergeCell ref="C46:D46"/>
    <mergeCell ref="A47:B47"/>
    <mergeCell ref="C47:D47"/>
    <mergeCell ref="E46:F46"/>
    <mergeCell ref="G46:H46"/>
    <mergeCell ref="I46:J46"/>
    <mergeCell ref="K46:L46"/>
    <mergeCell ref="E47:F47"/>
    <mergeCell ref="G47:H47"/>
    <mergeCell ref="I47:J47"/>
  </mergeCells>
  <phoneticPr fontId="0" type="noConversion"/>
  <printOptions horizontalCentered="1" verticalCentered="1"/>
  <pageMargins left="0" right="0" top="0" bottom="0" header="7.874015748031496E-2" footer="0.11811023622047245"/>
  <pageSetup paperSize="9" scale="87" fitToHeight="2" orientation="landscape" r:id="rId1"/>
  <rowBreaks count="1" manualBreakCount="1">
    <brk id="36" max="11" man="1"/>
  </rowBreaks>
  <ignoredErrors>
    <ignoredError sqref="D26:K36 D10:K20 D22:H25 J22:K25 I22:I25 D21 F21 H21 J21 E21 K21 I21 G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Painel</vt:lpstr>
      <vt:lpstr>plot0920</vt:lpstr>
      <vt:lpstr>Painel!Area_de_impressao</vt:lpstr>
      <vt:lpstr>plot0920!Area_de_impressao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NEUTO</dc:creator>
  <cp:lastModifiedBy>Fernando Silva | NTC</cp:lastModifiedBy>
  <cp:lastPrinted>2017-08-08T13:12:01Z</cp:lastPrinted>
  <dcterms:created xsi:type="dcterms:W3CDTF">2006-01-24T19:54:25Z</dcterms:created>
  <dcterms:modified xsi:type="dcterms:W3CDTF">2020-10-09T14:45:58Z</dcterms:modified>
</cp:coreProperties>
</file>